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vel\Projects\Employment\2004 TUL\RVVZ\!RZH\2018 FOM\"/>
    </mc:Choice>
  </mc:AlternateContent>
  <bookViews>
    <workbookView xWindow="120" yWindow="105" windowWidth="21075" windowHeight="9540"/>
  </bookViews>
  <sheets>
    <sheet name="Kalkulace výjezdu" sheetId="3" r:id="rId1"/>
    <sheet name="Sazby" sheetId="2" state="hidden" r:id="rId2"/>
  </sheets>
  <definedNames>
    <definedName name="list_of_countries">Sazby!$A$2:$A$204</definedName>
    <definedName name="zeme_pobytu">Sazby!$A$2:$A$205</definedName>
  </definedNames>
  <calcPr calcId="162913"/>
</workbook>
</file>

<file path=xl/calcChain.xml><?xml version="1.0" encoding="utf-8"?>
<calcChain xmlns="http://schemas.openxmlformats.org/spreadsheetml/2006/main">
  <c r="K13" i="2" l="1"/>
  <c r="K22" i="2"/>
  <c r="K12" i="2"/>
  <c r="D203" i="2"/>
  <c r="D28" i="3" l="1"/>
  <c r="D27" i="3"/>
  <c r="K11" i="2"/>
  <c r="K9" i="2"/>
  <c r="F167" i="2"/>
  <c r="F33" i="2"/>
  <c r="F28" i="2"/>
  <c r="F24" i="2"/>
  <c r="F180" i="2"/>
  <c r="F150" i="2"/>
  <c r="F81" i="2"/>
  <c r="F93" i="2"/>
  <c r="F120" i="2"/>
  <c r="F166" i="2"/>
  <c r="F200" i="2"/>
  <c r="F87" i="2"/>
  <c r="F63" i="2"/>
  <c r="F26" i="2"/>
  <c r="F8" i="2"/>
  <c r="K10" i="2" s="1"/>
  <c r="F147" i="2"/>
  <c r="F135" i="2"/>
  <c r="F46" i="2"/>
  <c r="F184" i="2"/>
  <c r="F157" i="2"/>
  <c r="F161" i="2"/>
  <c r="F165" i="2"/>
  <c r="F151" i="2"/>
  <c r="F91" i="2"/>
  <c r="F74" i="2"/>
  <c r="F72" i="2"/>
  <c r="F65" i="2"/>
  <c r="F62" i="2"/>
  <c r="F34" i="2"/>
  <c r="K8" i="2" s="1"/>
  <c r="F76" i="2"/>
  <c r="F116" i="2"/>
  <c r="F40" i="2"/>
  <c r="F4" i="2"/>
  <c r="K7" i="2" s="1"/>
  <c r="F137" i="2"/>
  <c r="F45" i="2"/>
  <c r="F10" i="2"/>
  <c r="F199" i="2"/>
  <c r="F194" i="2"/>
  <c r="F181" i="2"/>
  <c r="F179" i="2"/>
  <c r="F163" i="2"/>
  <c r="F162" i="2"/>
  <c r="F153" i="2"/>
  <c r="F148" i="2"/>
  <c r="F146" i="2"/>
  <c r="F136" i="2"/>
  <c r="F129" i="2"/>
  <c r="F115" i="2"/>
  <c r="F109" i="2"/>
  <c r="F106" i="2"/>
  <c r="F105" i="2"/>
  <c r="F104" i="2"/>
  <c r="F71" i="2"/>
  <c r="F70" i="2"/>
  <c r="F69" i="2"/>
  <c r="F64" i="2"/>
  <c r="F48" i="2"/>
  <c r="F47" i="2"/>
  <c r="F43" i="2"/>
  <c r="F35" i="2"/>
  <c r="F17" i="2"/>
  <c r="D12" i="2"/>
  <c r="D188" i="2"/>
  <c r="D175" i="2"/>
  <c r="D173" i="2"/>
  <c r="D172" i="2"/>
  <c r="D73" i="2"/>
  <c r="D60" i="2"/>
  <c r="D54" i="2"/>
  <c r="D38" i="2"/>
  <c r="D37" i="2"/>
  <c r="D16" i="2"/>
  <c r="D156" i="2"/>
  <c r="D198" i="2"/>
  <c r="D197" i="2"/>
  <c r="D192" i="2"/>
  <c r="D187" i="2"/>
  <c r="D178" i="2"/>
  <c r="D155" i="2"/>
  <c r="D142" i="2"/>
  <c r="D140" i="2"/>
  <c r="D134" i="2"/>
  <c r="D128" i="2"/>
  <c r="D121" i="2"/>
  <c r="D117" i="2"/>
  <c r="D86" i="2"/>
  <c r="D45" i="2"/>
  <c r="H45" i="2" s="1"/>
  <c r="D31" i="2"/>
  <c r="D14" i="3"/>
  <c r="D25" i="3" l="1"/>
  <c r="D26" i="3"/>
  <c r="D17" i="3"/>
  <c r="D204" i="2"/>
  <c r="D202" i="2"/>
  <c r="D201" i="2"/>
  <c r="D200" i="2"/>
  <c r="H200" i="2" s="1"/>
  <c r="D199" i="2"/>
  <c r="H199" i="2" s="1"/>
  <c r="D196" i="2"/>
  <c r="D195" i="2"/>
  <c r="D194" i="2"/>
  <c r="H194" i="2" s="1"/>
  <c r="D193" i="2"/>
  <c r="D191" i="2"/>
  <c r="D190" i="2"/>
  <c r="D189" i="2"/>
  <c r="D186" i="2"/>
  <c r="D185" i="2"/>
  <c r="D184" i="2"/>
  <c r="H184" i="2" s="1"/>
  <c r="D183" i="2"/>
  <c r="D182" i="2"/>
  <c r="D181" i="2"/>
  <c r="H181" i="2" s="1"/>
  <c r="D180" i="2"/>
  <c r="H180" i="2" s="1"/>
  <c r="D179" i="2"/>
  <c r="H179" i="2" s="1"/>
  <c r="D177" i="2"/>
  <c r="D176" i="2"/>
  <c r="D174" i="2"/>
  <c r="D171" i="2"/>
  <c r="D170" i="2"/>
  <c r="D169" i="2"/>
  <c r="D168" i="2"/>
  <c r="D167" i="2"/>
  <c r="H167" i="2" s="1"/>
  <c r="D166" i="2"/>
  <c r="H166" i="2" s="1"/>
  <c r="D164" i="2"/>
  <c r="D163" i="2"/>
  <c r="H163" i="2" s="1"/>
  <c r="D162" i="2"/>
  <c r="H162" i="2" s="1"/>
  <c r="D165" i="2"/>
  <c r="H165" i="2" s="1"/>
  <c r="D161" i="2"/>
  <c r="H161" i="2" s="1"/>
  <c r="D160" i="2"/>
  <c r="D159" i="2"/>
  <c r="D158" i="2"/>
  <c r="D157" i="2"/>
  <c r="H157" i="2" s="1"/>
  <c r="D154" i="2"/>
  <c r="D153" i="2"/>
  <c r="H153" i="2" s="1"/>
  <c r="D152" i="2"/>
  <c r="D151" i="2"/>
  <c r="H151" i="2" s="1"/>
  <c r="D150" i="2"/>
  <c r="H150" i="2" s="1"/>
  <c r="D149" i="2"/>
  <c r="D148" i="2"/>
  <c r="H148" i="2" s="1"/>
  <c r="D147" i="2"/>
  <c r="H147" i="2" s="1"/>
  <c r="D146" i="2"/>
  <c r="H146" i="2" s="1"/>
  <c r="D145" i="2"/>
  <c r="D144" i="2"/>
  <c r="D143" i="2"/>
  <c r="D141" i="2"/>
  <c r="D139" i="2"/>
  <c r="D138" i="2"/>
  <c r="D137" i="2"/>
  <c r="H137" i="2" s="1"/>
  <c r="D136" i="2"/>
  <c r="D135" i="2"/>
  <c r="H135" i="2" s="1"/>
  <c r="D133" i="2"/>
  <c r="D132" i="2"/>
  <c r="D131" i="2"/>
  <c r="D130" i="2"/>
  <c r="D129" i="2"/>
  <c r="H129" i="2" s="1"/>
  <c r="D127" i="2"/>
  <c r="D126" i="2"/>
  <c r="D125" i="2"/>
  <c r="D124" i="2"/>
  <c r="D123" i="2"/>
  <c r="D122" i="2"/>
  <c r="D120" i="2"/>
  <c r="H120" i="2" s="1"/>
  <c r="D119" i="2"/>
  <c r="D118" i="2"/>
  <c r="D116" i="2"/>
  <c r="H116" i="2" s="1"/>
  <c r="D115" i="2"/>
  <c r="H115" i="2" s="1"/>
  <c r="D114" i="2"/>
  <c r="D113" i="2"/>
  <c r="D112" i="2"/>
  <c r="D111" i="2"/>
  <c r="D110" i="2"/>
  <c r="D109" i="2"/>
  <c r="H109" i="2" s="1"/>
  <c r="D108" i="2"/>
  <c r="D107" i="2"/>
  <c r="D106" i="2"/>
  <c r="H106" i="2" s="1"/>
  <c r="D105" i="2"/>
  <c r="H105" i="2" s="1"/>
  <c r="D104" i="2"/>
  <c r="H104" i="2" s="1"/>
  <c r="D103" i="2"/>
  <c r="D102" i="2"/>
  <c r="D101" i="2"/>
  <c r="D100" i="2"/>
  <c r="D99" i="2"/>
  <c r="D98" i="2"/>
  <c r="D97" i="2"/>
  <c r="D96" i="2"/>
  <c r="D95" i="2"/>
  <c r="D94" i="2"/>
  <c r="D93" i="2"/>
  <c r="H93" i="2" s="1"/>
  <c r="D92" i="2"/>
  <c r="D91" i="2"/>
  <c r="H91" i="2" s="1"/>
  <c r="D90" i="2"/>
  <c r="D36" i="2"/>
  <c r="D89" i="2"/>
  <c r="D88" i="2"/>
  <c r="D87" i="2"/>
  <c r="H87" i="2" s="1"/>
  <c r="D85" i="2"/>
  <c r="D84" i="2"/>
  <c r="D83" i="2"/>
  <c r="D7" i="2"/>
  <c r="D82" i="2"/>
  <c r="D81" i="2"/>
  <c r="H81" i="2" s="1"/>
  <c r="K18" i="2" s="1"/>
  <c r="D80" i="2"/>
  <c r="D79" i="2"/>
  <c r="D78" i="2"/>
  <c r="D77" i="2"/>
  <c r="D76" i="2"/>
  <c r="H76" i="2" s="1"/>
  <c r="D75" i="2"/>
  <c r="D74" i="2"/>
  <c r="H74" i="2" s="1"/>
  <c r="D72" i="2"/>
  <c r="H72" i="2" s="1"/>
  <c r="D71" i="2"/>
  <c r="H71" i="2" s="1"/>
  <c r="D70" i="2"/>
  <c r="H70" i="2" s="1"/>
  <c r="D69" i="2"/>
  <c r="H69" i="2" s="1"/>
  <c r="D68" i="2"/>
  <c r="D67" i="2"/>
  <c r="D66" i="2"/>
  <c r="D65" i="2"/>
  <c r="H65" i="2" s="1"/>
  <c r="D64" i="2"/>
  <c r="H64" i="2" s="1"/>
  <c r="D63" i="2"/>
  <c r="H63" i="2" s="1"/>
  <c r="D62" i="2"/>
  <c r="H62" i="2" s="1"/>
  <c r="D61" i="2"/>
  <c r="D57" i="2"/>
  <c r="D59" i="2"/>
  <c r="D58" i="2"/>
  <c r="D56" i="2"/>
  <c r="D55" i="2"/>
  <c r="D53" i="2"/>
  <c r="D52" i="2"/>
  <c r="D51" i="2"/>
  <c r="D50" i="2"/>
  <c r="D49" i="2"/>
  <c r="D48" i="2"/>
  <c r="H48" i="2" s="1"/>
  <c r="D47" i="2"/>
  <c r="H47" i="2" s="1"/>
  <c r="D46" i="2"/>
  <c r="H46" i="2" s="1"/>
  <c r="D44" i="2"/>
  <c r="D43" i="2"/>
  <c r="H43" i="2" s="1"/>
  <c r="D42" i="2"/>
  <c r="D41" i="2"/>
  <c r="D40" i="2"/>
  <c r="H40" i="2" s="1"/>
  <c r="D39" i="2"/>
  <c r="D35" i="2"/>
  <c r="H35" i="2" s="1"/>
  <c r="D34" i="2"/>
  <c r="H34" i="2" s="1"/>
  <c r="K17" i="2" s="1"/>
  <c r="D33" i="2"/>
  <c r="H33" i="2" s="1"/>
  <c r="D32" i="2"/>
  <c r="D30" i="2"/>
  <c r="D29" i="2"/>
  <c r="D28" i="2"/>
  <c r="H28" i="2" s="1"/>
  <c r="D27" i="2"/>
  <c r="D26" i="2"/>
  <c r="H26" i="2" s="1"/>
  <c r="D25" i="2"/>
  <c r="D24" i="2"/>
  <c r="H24" i="2" s="1"/>
  <c r="D23" i="2"/>
  <c r="D22" i="2"/>
  <c r="D19" i="2"/>
  <c r="D21" i="2"/>
  <c r="D20" i="2"/>
  <c r="D18" i="2"/>
  <c r="D17" i="2"/>
  <c r="H17" i="2" s="1"/>
  <c r="D15" i="2"/>
  <c r="D14" i="2"/>
  <c r="D13" i="2"/>
  <c r="D11" i="2"/>
  <c r="D10" i="2"/>
  <c r="H10" i="2" s="1"/>
  <c r="K20" i="2" s="1"/>
  <c r="D9" i="2"/>
  <c r="D8" i="2"/>
  <c r="H8" i="2" s="1"/>
  <c r="D6" i="2"/>
  <c r="D5" i="2"/>
  <c r="D4" i="2"/>
  <c r="H4" i="2" s="1"/>
  <c r="D3" i="2"/>
  <c r="D2" i="2"/>
  <c r="D30" i="3" l="1"/>
  <c r="K19" i="2"/>
  <c r="K21" i="2"/>
  <c r="K16" i="2"/>
  <c r="H136" i="2"/>
</calcChain>
</file>

<file path=xl/sharedStrings.xml><?xml version="1.0" encoding="utf-8"?>
<sst xmlns="http://schemas.openxmlformats.org/spreadsheetml/2006/main" count="663" uniqueCount="248">
  <si>
    <t>Země</t>
  </si>
  <si>
    <t>Afghánistán</t>
  </si>
  <si>
    <t>EUR</t>
  </si>
  <si>
    <t>Albánie</t>
  </si>
  <si>
    <t>Alžírsko</t>
  </si>
  <si>
    <t>Andorra</t>
  </si>
  <si>
    <t>Angola</t>
  </si>
  <si>
    <t>USD</t>
  </si>
  <si>
    <t>Argentina</t>
  </si>
  <si>
    <t>Arménie</t>
  </si>
  <si>
    <t>Ázerbájdžán</t>
  </si>
  <si>
    <t>Bahamy</t>
  </si>
  <si>
    <t>Bahrajn</t>
  </si>
  <si>
    <t>Bangladéš</t>
  </si>
  <si>
    <t>Belgie</t>
  </si>
  <si>
    <t>Belize</t>
  </si>
  <si>
    <t>Benin</t>
  </si>
  <si>
    <t>Bermudy</t>
  </si>
  <si>
    <t>Bělorusko</t>
  </si>
  <si>
    <t>Bhútán</t>
  </si>
  <si>
    <t>Bolívie</t>
  </si>
  <si>
    <t>Bosna a Hercegovina</t>
  </si>
  <si>
    <t>Botswana</t>
  </si>
  <si>
    <t>Brazílie</t>
  </si>
  <si>
    <t>Brunej</t>
  </si>
  <si>
    <t>Bulharsko</t>
  </si>
  <si>
    <t>Burkina Faso</t>
  </si>
  <si>
    <t>Burundi</t>
  </si>
  <si>
    <t>Čad</t>
  </si>
  <si>
    <t>Černá Hora</t>
  </si>
  <si>
    <t>Čína</t>
  </si>
  <si>
    <t>Dánsko</t>
  </si>
  <si>
    <t>Egypt</t>
  </si>
  <si>
    <t>Ekvádor</t>
  </si>
  <si>
    <t>Eritrea</t>
  </si>
  <si>
    <t>Estonsko</t>
  </si>
  <si>
    <t>Etiopie</t>
  </si>
  <si>
    <t>Filipíny</t>
  </si>
  <si>
    <t>Finsko</t>
  </si>
  <si>
    <t>Francie</t>
  </si>
  <si>
    <t>Francouzská Guayana</t>
  </si>
  <si>
    <t>Gabon</t>
  </si>
  <si>
    <t>Gambie</t>
  </si>
  <si>
    <t>Ghana</t>
  </si>
  <si>
    <t>Gibraltar</t>
  </si>
  <si>
    <t>Gruzie</t>
  </si>
  <si>
    <t>Guatemala</t>
  </si>
  <si>
    <t>Guinea</t>
  </si>
  <si>
    <t>Guinea-Bissau</t>
  </si>
  <si>
    <t>Guayana</t>
  </si>
  <si>
    <t>Honduras</t>
  </si>
  <si>
    <t>Hongkong</t>
  </si>
  <si>
    <t>Chile</t>
  </si>
  <si>
    <t>Chorvatsko</t>
  </si>
  <si>
    <t>Indie</t>
  </si>
  <si>
    <t>Indonésie</t>
  </si>
  <si>
    <t>Irák</t>
  </si>
  <si>
    <t>Írán</t>
  </si>
  <si>
    <t>Irsko</t>
  </si>
  <si>
    <t>Island</t>
  </si>
  <si>
    <t>Izrael</t>
  </si>
  <si>
    <t>Japonsko</t>
  </si>
  <si>
    <t>Jemen</t>
  </si>
  <si>
    <t>Jihoafrická republika</t>
  </si>
  <si>
    <t>Jižní Súdán</t>
  </si>
  <si>
    <t>Jordánsko</t>
  </si>
  <si>
    <t>Kambodža</t>
  </si>
  <si>
    <t>Kamerun</t>
  </si>
  <si>
    <t>Kanada</t>
  </si>
  <si>
    <t>Kapverdy</t>
  </si>
  <si>
    <t>Katar</t>
  </si>
  <si>
    <t>Kazachstán</t>
  </si>
  <si>
    <t>Keňa</t>
  </si>
  <si>
    <t>Kolumbie</t>
  </si>
  <si>
    <t>Komory</t>
  </si>
  <si>
    <t>Konžská republika (Brazzaville)</t>
  </si>
  <si>
    <t>Korejská lidově demokratická republika</t>
  </si>
  <si>
    <t>Korejská republika</t>
  </si>
  <si>
    <t>Kosovo</t>
  </si>
  <si>
    <t>Kostarika</t>
  </si>
  <si>
    <t>Kuba</t>
  </si>
  <si>
    <t>Kuvajt</t>
  </si>
  <si>
    <t>Kypr</t>
  </si>
  <si>
    <t>Kyrgystán</t>
  </si>
  <si>
    <t>Laos</t>
  </si>
  <si>
    <t>Lesotho</t>
  </si>
  <si>
    <t>Libanon</t>
  </si>
  <si>
    <t>Libérie</t>
  </si>
  <si>
    <t>Libye</t>
  </si>
  <si>
    <t>Lichtenštejnsko</t>
  </si>
  <si>
    <t>CHF</t>
  </si>
  <si>
    <t>Litva</t>
  </si>
  <si>
    <t>Lotyšsko</t>
  </si>
  <si>
    <t>Lucembursko</t>
  </si>
  <si>
    <t>Macao</t>
  </si>
  <si>
    <t>Madagaskar</t>
  </si>
  <si>
    <t>Maďarsko</t>
  </si>
  <si>
    <t>Makedonie</t>
  </si>
  <si>
    <t>Malajsie</t>
  </si>
  <si>
    <t>Malawi</t>
  </si>
  <si>
    <t>Maledivy</t>
  </si>
  <si>
    <t>Mali</t>
  </si>
  <si>
    <t>Malta</t>
  </si>
  <si>
    <t>Maroko</t>
  </si>
  <si>
    <t>Mauretánie</t>
  </si>
  <si>
    <t>Mauricius</t>
  </si>
  <si>
    <t>Mexiko</t>
  </si>
  <si>
    <t>Moldavsko</t>
  </si>
  <si>
    <t>Monako</t>
  </si>
  <si>
    <t>Mongolsko</t>
  </si>
  <si>
    <t>Mozambik</t>
  </si>
  <si>
    <t>Namibie</t>
  </si>
  <si>
    <t>Německo</t>
  </si>
  <si>
    <t>Nepál</t>
  </si>
  <si>
    <t>Niger</t>
  </si>
  <si>
    <t>Nigérie</t>
  </si>
  <si>
    <t>Nikaragua</t>
  </si>
  <si>
    <t>Nizozemsko</t>
  </si>
  <si>
    <t>Norsko</t>
  </si>
  <si>
    <t>Nový Zéland</t>
  </si>
  <si>
    <t>Omán</t>
  </si>
  <si>
    <t>Pákistán</t>
  </si>
  <si>
    <t>Panama</t>
  </si>
  <si>
    <t>Paraguay</t>
  </si>
  <si>
    <t>Peru</t>
  </si>
  <si>
    <t>Pobřeží slonoviny</t>
  </si>
  <si>
    <t>Polsko</t>
  </si>
  <si>
    <t>Rakousko</t>
  </si>
  <si>
    <t>Rovníková Guinea</t>
  </si>
  <si>
    <t>Rumunsko</t>
  </si>
  <si>
    <t>Rusko</t>
  </si>
  <si>
    <t>Rwanda</t>
  </si>
  <si>
    <t>Řecko</t>
  </si>
  <si>
    <t>Salvador</t>
  </si>
  <si>
    <t>Saúdská Arábie</t>
  </si>
  <si>
    <t>Senegal</t>
  </si>
  <si>
    <t>Seychely</t>
  </si>
  <si>
    <t>Sierra Leone</t>
  </si>
  <si>
    <t>Singapur</t>
  </si>
  <si>
    <t>Spojené arabské emiráty</t>
  </si>
  <si>
    <t>Slovensko</t>
  </si>
  <si>
    <t>Slovinsko</t>
  </si>
  <si>
    <t>Somálsko</t>
  </si>
  <si>
    <t>Spojené státy americké</t>
  </si>
  <si>
    <t>Srbsko</t>
  </si>
  <si>
    <t>Srí Lanka</t>
  </si>
  <si>
    <t>Středoafrická republika</t>
  </si>
  <si>
    <t>Súdán</t>
  </si>
  <si>
    <t>Surinam</t>
  </si>
  <si>
    <t>Svatý Tomáš a Princův ostrov</t>
  </si>
  <si>
    <t>Svazijsko</t>
  </si>
  <si>
    <t>Sýrie</t>
  </si>
  <si>
    <t>Španělsko</t>
  </si>
  <si>
    <t>Švédsko</t>
  </si>
  <si>
    <t>Švýcarsko</t>
  </si>
  <si>
    <t>Tádžikistán</t>
  </si>
  <si>
    <t>Tanzanie</t>
  </si>
  <si>
    <t>Thajsko</t>
  </si>
  <si>
    <t>Tchaj-wan</t>
  </si>
  <si>
    <t>Togo</t>
  </si>
  <si>
    <t>Tunisko</t>
  </si>
  <si>
    <t>Turecko</t>
  </si>
  <si>
    <t>Turkmenistán</t>
  </si>
  <si>
    <t>Uganda</t>
  </si>
  <si>
    <t>Ukrajina</t>
  </si>
  <si>
    <t>Uruguay</t>
  </si>
  <si>
    <t>Uzbekistán</t>
  </si>
  <si>
    <t>Velká Británie</t>
  </si>
  <si>
    <t>GBP</t>
  </si>
  <si>
    <t>Venezuela</t>
  </si>
  <si>
    <t>Vietnam</t>
  </si>
  <si>
    <t>Zambie</t>
  </si>
  <si>
    <t>Zimbabwe</t>
  </si>
  <si>
    <t>Kurz</t>
  </si>
  <si>
    <t>Letenka</t>
  </si>
  <si>
    <t>Světadíl</t>
  </si>
  <si>
    <t>Džibutsko</t>
  </si>
  <si>
    <t>Afrika</t>
  </si>
  <si>
    <t>Myanmar</t>
  </si>
  <si>
    <t>Asie</t>
  </si>
  <si>
    <t>Itálie</t>
  </si>
  <si>
    <t>Portugalsko</t>
  </si>
  <si>
    <t>San Marino</t>
  </si>
  <si>
    <t>Vatikán</t>
  </si>
  <si>
    <t>Evropa</t>
  </si>
  <si>
    <t>Jižní Amerika</t>
  </si>
  <si>
    <t>Antigua a Barbuda</t>
  </si>
  <si>
    <t>Barbados</t>
  </si>
  <si>
    <t>Dominika</t>
  </si>
  <si>
    <t>Dominikánská republika</t>
  </si>
  <si>
    <t>Grenada</t>
  </si>
  <si>
    <t>Haiti</t>
  </si>
  <si>
    <t>Jamajka</t>
  </si>
  <si>
    <t>Svatá Lucie</t>
  </si>
  <si>
    <t>Svatý Kryštof a Nevis</t>
  </si>
  <si>
    <t>Svatý Vincenc a Grenadiny</t>
  </si>
  <si>
    <t>Trinidad a Tobago</t>
  </si>
  <si>
    <t>Severní Amerika</t>
  </si>
  <si>
    <t>Austrálie</t>
  </si>
  <si>
    <t>Cookovy ostrovy</t>
  </si>
  <si>
    <t>Fidži</t>
  </si>
  <si>
    <t>Kiribati</t>
  </si>
  <si>
    <t>Marshallovy ostrovy</t>
  </si>
  <si>
    <t>Mikronésie</t>
  </si>
  <si>
    <t>Nauru</t>
  </si>
  <si>
    <t>Niue</t>
  </si>
  <si>
    <t>Palau</t>
  </si>
  <si>
    <t>Papua-Nová Guinea</t>
  </si>
  <si>
    <t>Samoa</t>
  </si>
  <si>
    <t>Šalamounovy ostrovy</t>
  </si>
  <si>
    <t>Tonga</t>
  </si>
  <si>
    <t>Tuvalu</t>
  </si>
  <si>
    <t>Vanuatu</t>
  </si>
  <si>
    <t>Austrálie a Oceánie</t>
  </si>
  <si>
    <t>letenka</t>
  </si>
  <si>
    <t>Ubytování</t>
  </si>
  <si>
    <t>Koeficient bytování</t>
  </si>
  <si>
    <t>Stravné (Kč)</t>
  </si>
  <si>
    <t>Fond mobilit TUL</t>
  </si>
  <si>
    <t>Délka služební cesty:</t>
  </si>
  <si>
    <t>Datum odjezdu:</t>
  </si>
  <si>
    <t>Datum příjezdu:</t>
  </si>
  <si>
    <t>Stát zahraniční cesty:</t>
  </si>
  <si>
    <t>Azorské ostrovy</t>
  </si>
  <si>
    <t>Demokratická republika Kongo (Kinshasa)</t>
  </si>
  <si>
    <t>Měna</t>
  </si>
  <si>
    <t>Stravné (Měna)</t>
  </si>
  <si>
    <t>Oblast</t>
  </si>
  <si>
    <t>Ubyt./Stravné</t>
  </si>
  <si>
    <t>Známé finanční náklady služební cesty do zahraničí:</t>
  </si>
  <si>
    <t>Ubytování:</t>
  </si>
  <si>
    <t>Kalkulace předpokládaných nákladů na služební cestu v zahraničí:</t>
  </si>
  <si>
    <t>Stravné:</t>
  </si>
  <si>
    <t>Cestovné:</t>
  </si>
  <si>
    <t>Další náklady:</t>
  </si>
  <si>
    <t>Náklady celkem:</t>
  </si>
  <si>
    <t>(nezadáno)</t>
  </si>
  <si>
    <t>Kalkulace předpokládaných nákladů na služební cestu do zahraničí</t>
  </si>
  <si>
    <r>
      <t>Ubytování</t>
    </r>
    <r>
      <rPr>
        <b/>
        <vertAlign val="superscript"/>
        <sz val="11"/>
        <color theme="1"/>
        <rFont val="Times New Roman"/>
        <family val="1"/>
        <charset val="238"/>
      </rPr>
      <t>3,4</t>
    </r>
    <r>
      <rPr>
        <b/>
        <sz val="11"/>
        <color theme="1"/>
        <rFont val="Times New Roman"/>
        <family val="1"/>
        <charset val="238"/>
      </rPr>
      <t>:</t>
    </r>
  </si>
  <si>
    <r>
      <t>Cestovné (letenka)</t>
    </r>
    <r>
      <rPr>
        <b/>
        <vertAlign val="superscript"/>
        <sz val="11"/>
        <color theme="1"/>
        <rFont val="Times New Roman"/>
        <family val="1"/>
        <charset val="238"/>
      </rPr>
      <t>3,5</t>
    </r>
    <r>
      <rPr>
        <b/>
        <sz val="11"/>
        <color theme="1"/>
        <rFont val="Times New Roman"/>
        <family val="1"/>
        <charset val="238"/>
      </rPr>
      <t>:</t>
    </r>
  </si>
  <si>
    <r>
      <t>Další (vložné, apod.)</t>
    </r>
    <r>
      <rPr>
        <b/>
        <vertAlign val="superscript"/>
        <sz val="11"/>
        <color theme="1"/>
        <rFont val="Times New Roman"/>
        <family val="1"/>
        <charset val="238"/>
      </rPr>
      <t>3</t>
    </r>
    <r>
      <rPr>
        <b/>
        <sz val="11"/>
        <color theme="1"/>
        <rFont val="Times New Roman"/>
        <family val="1"/>
        <charset val="238"/>
      </rPr>
      <t>:</t>
    </r>
  </si>
  <si>
    <r>
      <t>Neúčtuji stravné</t>
    </r>
    <r>
      <rPr>
        <b/>
        <vertAlign val="superscript"/>
        <sz val="11"/>
        <color theme="1"/>
        <rFont val="Times New Roman"/>
        <family val="1"/>
        <charset val="238"/>
      </rPr>
      <t>1</t>
    </r>
    <r>
      <rPr>
        <b/>
        <sz val="11"/>
        <color theme="1"/>
        <rFont val="Times New Roman"/>
        <family val="1"/>
        <charset val="238"/>
      </rPr>
      <t>:</t>
    </r>
  </si>
  <si>
    <r>
      <t>Poskytnutá jídla</t>
    </r>
    <r>
      <rPr>
        <b/>
        <vertAlign val="superscript"/>
        <sz val="11"/>
        <color theme="1"/>
        <rFont val="Times New Roman"/>
        <family val="1"/>
        <charset val="238"/>
      </rPr>
      <t>2</t>
    </r>
    <r>
      <rPr>
        <b/>
        <sz val="11"/>
        <color theme="1"/>
        <rFont val="Times New Roman"/>
        <family val="1"/>
        <charset val="238"/>
      </rPr>
      <t>:</t>
    </r>
  </si>
  <si>
    <r>
      <rPr>
        <vertAlign val="superscript"/>
        <sz val="11"/>
        <color theme="1"/>
        <rFont val="Times New Roman"/>
        <family val="1"/>
        <charset val="238"/>
      </rPr>
      <t>5</t>
    </r>
    <r>
      <rPr>
        <sz val="11"/>
        <color theme="1"/>
        <rFont val="Times New Roman"/>
        <family val="1"/>
        <charset val="238"/>
      </rPr>
      <t>) Vyplňte pouze v případě rezervované letenky.</t>
    </r>
  </si>
  <si>
    <r>
      <rPr>
        <vertAlign val="superscript"/>
        <sz val="11"/>
        <color theme="1"/>
        <rFont val="Times New Roman"/>
        <family val="1"/>
        <charset val="238"/>
      </rPr>
      <t>4</t>
    </r>
    <r>
      <rPr>
        <sz val="11"/>
        <color theme="1"/>
        <rFont val="Times New Roman"/>
        <family val="1"/>
        <charset val="238"/>
      </rPr>
      <t>) Vyplňte částku za celou dobu pobytu.</t>
    </r>
  </si>
  <si>
    <r>
      <rPr>
        <vertAlign val="superscript"/>
        <sz val="11"/>
        <color theme="1"/>
        <rFont val="Times New Roman"/>
        <family val="1"/>
        <charset val="238"/>
      </rPr>
      <t>3</t>
    </r>
    <r>
      <rPr>
        <sz val="11"/>
        <color theme="1"/>
        <rFont val="Times New Roman"/>
        <family val="1"/>
        <charset val="238"/>
      </rPr>
      <t>) Pokud částku neznáte, zadejte 0,00 Kč.</t>
    </r>
  </si>
  <si>
    <r>
      <rPr>
        <vertAlign val="super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>) Zadejte počet poskytnutých jídel (snídaně v hotelu, obědy a večeře hrazené z vložného konference, apod.).</t>
    </r>
  </si>
  <si>
    <r>
      <rPr>
        <vertAlign val="superscript"/>
        <sz val="11"/>
        <color theme="1"/>
        <rFont val="Times New Roman"/>
        <family val="1"/>
        <charset val="238"/>
      </rPr>
      <t>1</t>
    </r>
    <r>
      <rPr>
        <sz val="11"/>
        <color theme="1"/>
        <rFont val="Times New Roman"/>
        <family val="1"/>
        <charset val="238"/>
      </rPr>
      <t>) Zadejte počet dní, kdy neúčtujete stravné (v případě dlouhodobých studijních pobytů).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</si>
</sst>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323232"/>
      <name val="Arial"/>
      <family val="2"/>
      <charset val="238"/>
    </font>
    <font>
      <sz val="10"/>
      <color rgb="FF323232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2F6FB"/>
        <bgColor indexed="64"/>
      </patternFill>
    </fill>
    <fill>
      <patternFill patternType="solid">
        <fgColor rgb="FFD8E0EB"/>
        <bgColor indexed="64"/>
      </patternFill>
    </fill>
    <fill>
      <patternFill patternType="solid">
        <fgColor rgb="FFEEF3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rgb="FFCFD7E5"/>
      </left>
      <right style="medium">
        <color rgb="FFCFD7E5"/>
      </right>
      <top style="medium">
        <color rgb="FFCFD7E5"/>
      </top>
      <bottom style="medium">
        <color rgb="FFCFD7E5"/>
      </bottom>
      <diagonal/>
    </border>
    <border>
      <left style="medium">
        <color rgb="FFCFD7E5"/>
      </left>
      <right style="medium">
        <color rgb="FFCFD7E5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2" fontId="0" fillId="0" borderId="0" xfId="0" applyNumberFormat="1"/>
    <xf numFmtId="0" fontId="1" fillId="5" borderId="0" xfId="0" applyFont="1" applyFill="1" applyBorder="1" applyAlignment="1">
      <alignment horizontal="center" vertical="center" wrapText="1"/>
    </xf>
    <xf numFmtId="2" fontId="0" fillId="5" borderId="0" xfId="0" applyNumberFormat="1" applyFill="1"/>
    <xf numFmtId="0" fontId="0" fillId="5" borderId="0" xfId="0" applyFill="1"/>
    <xf numFmtId="2" fontId="1" fillId="3" borderId="2" xfId="0" applyNumberFormat="1" applyFont="1" applyFill="1" applyBorder="1" applyAlignment="1">
      <alignment horizontal="center" vertical="center" wrapText="1"/>
    </xf>
    <xf numFmtId="2" fontId="1" fillId="3" borderId="0" xfId="0" applyNumberFormat="1" applyFont="1" applyFill="1" applyBorder="1" applyAlignment="1">
      <alignment horizontal="center" vertical="center" wrapText="1"/>
    </xf>
    <xf numFmtId="0" fontId="0" fillId="6" borderId="0" xfId="0" applyFill="1"/>
    <xf numFmtId="2" fontId="0" fillId="6" borderId="0" xfId="0" applyNumberFormat="1" applyFill="1"/>
    <xf numFmtId="0" fontId="0" fillId="0" borderId="0" xfId="0" applyAlignment="1">
      <alignment horizontal="center"/>
    </xf>
    <xf numFmtId="0" fontId="3" fillId="0" borderId="0" xfId="0" applyFont="1" applyBorder="1"/>
    <xf numFmtId="0" fontId="1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7" borderId="3" xfId="0" applyFill="1" applyBorder="1"/>
    <xf numFmtId="0" fontId="0" fillId="7" borderId="4" xfId="0" applyFill="1" applyBorder="1"/>
    <xf numFmtId="0" fontId="4" fillId="7" borderId="5" xfId="0" applyFont="1" applyFill="1" applyBorder="1" applyAlignment="1">
      <alignment horizontal="right"/>
    </xf>
    <xf numFmtId="0" fontId="0" fillId="7" borderId="6" xfId="0" applyFill="1" applyBorder="1"/>
    <xf numFmtId="0" fontId="0" fillId="7" borderId="0" xfId="0" applyFill="1" applyBorder="1"/>
    <xf numFmtId="0" fontId="0" fillId="7" borderId="7" xfId="0" applyFill="1" applyBorder="1"/>
    <xf numFmtId="0" fontId="3" fillId="7" borderId="6" xfId="0" applyFont="1" applyFill="1" applyBorder="1"/>
    <xf numFmtId="0" fontId="3" fillId="7" borderId="0" xfId="0" applyFont="1" applyFill="1" applyBorder="1"/>
    <xf numFmtId="0" fontId="3" fillId="7" borderId="7" xfId="0" applyFont="1" applyFill="1" applyBorder="1"/>
    <xf numFmtId="0" fontId="4" fillId="7" borderId="6" xfId="0" applyFont="1" applyFill="1" applyBorder="1"/>
    <xf numFmtId="0" fontId="4" fillId="7" borderId="0" xfId="0" applyFont="1" applyFill="1" applyBorder="1"/>
    <xf numFmtId="0" fontId="4" fillId="7" borderId="7" xfId="0" applyFont="1" applyFill="1" applyBorder="1"/>
    <xf numFmtId="0" fontId="4" fillId="7" borderId="3" xfId="0" applyFont="1" applyFill="1" applyBorder="1"/>
    <xf numFmtId="0" fontId="4" fillId="7" borderId="4" xfId="0" applyFont="1" applyFill="1" applyBorder="1"/>
    <xf numFmtId="0" fontId="4" fillId="7" borderId="5" xfId="0" applyFont="1" applyFill="1" applyBorder="1"/>
    <xf numFmtId="0" fontId="5" fillId="7" borderId="0" xfId="0" applyFont="1" applyFill="1" applyBorder="1"/>
    <xf numFmtId="0" fontId="4" fillId="7" borderId="8" xfId="0" applyFont="1" applyFill="1" applyBorder="1"/>
    <xf numFmtId="0" fontId="4" fillId="7" borderId="9" xfId="0" applyFont="1" applyFill="1" applyBorder="1"/>
    <xf numFmtId="0" fontId="4" fillId="7" borderId="10" xfId="0" applyFont="1" applyFill="1" applyBorder="1"/>
    <xf numFmtId="0" fontId="5" fillId="7" borderId="6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3" fillId="0" borderId="0" xfId="0" applyFont="1"/>
    <xf numFmtId="0" fontId="8" fillId="7" borderId="0" xfId="0" applyFont="1" applyFill="1" applyBorder="1"/>
    <xf numFmtId="14" fontId="4" fillId="8" borderId="0" xfId="0" applyNumberFormat="1" applyFont="1" applyFill="1" applyBorder="1" applyProtection="1">
      <protection locked="0"/>
    </xf>
    <xf numFmtId="0" fontId="4" fillId="8" borderId="0" xfId="0" applyFont="1" applyFill="1" applyBorder="1" applyAlignment="1" applyProtection="1">
      <alignment horizontal="right"/>
      <protection locked="0"/>
    </xf>
    <xf numFmtId="0" fontId="4" fillId="8" borderId="0" xfId="0" applyFont="1" applyFill="1" applyBorder="1" applyProtection="1">
      <protection locked="0"/>
    </xf>
    <xf numFmtId="164" fontId="4" fillId="8" borderId="0" xfId="0" applyNumberFormat="1" applyFont="1" applyFill="1" applyBorder="1" applyProtection="1">
      <protection locked="0"/>
    </xf>
    <xf numFmtId="164" fontId="4" fillId="7" borderId="0" xfId="0" applyNumberFormat="1" applyFont="1" applyFill="1" applyBorder="1" applyProtection="1">
      <protection hidden="1"/>
    </xf>
    <xf numFmtId="164" fontId="5" fillId="7" borderId="0" xfId="0" applyNumberFormat="1" applyFont="1" applyFill="1" applyBorder="1" applyProtection="1">
      <protection hidden="1"/>
    </xf>
    <xf numFmtId="0" fontId="4" fillId="7" borderId="0" xfId="0" applyFont="1" applyFill="1" applyBorder="1" applyProtection="1"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49200</xdr:colOff>
      <xdr:row>1</xdr:row>
      <xdr:rowOff>37425</xdr:rowOff>
    </xdr:from>
    <xdr:to>
      <xdr:col>3</xdr:col>
      <xdr:colOff>415575</xdr:colOff>
      <xdr:row>3</xdr:row>
      <xdr:rowOff>52425</xdr:rowOff>
    </xdr:to>
    <xdr:pic>
      <xdr:nvPicPr>
        <xdr:cNvPr id="3" name="Obrázek 2" descr="TUL-word_Stránka_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80" t="45220" r="55722" b="15558"/>
        <a:stretch/>
      </xdr:blipFill>
      <xdr:spPr bwMode="auto">
        <a:xfrm>
          <a:off x="430200" y="408900"/>
          <a:ext cx="2700000" cy="39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7"/>
  <sheetViews>
    <sheetView tabSelected="1" workbookViewId="0">
      <selection activeCell="J17" sqref="J17"/>
    </sheetView>
  </sheetViews>
  <sheetFormatPr defaultRowHeight="15" x14ac:dyDescent="0.25"/>
  <cols>
    <col min="1" max="1" width="5.7109375" customWidth="1"/>
    <col min="2" max="2" width="4.7109375" customWidth="1"/>
    <col min="3" max="3" width="30.28515625" customWidth="1"/>
    <col min="4" max="4" width="40.28515625" customWidth="1"/>
    <col min="5" max="5" width="22.7109375" customWidth="1"/>
  </cols>
  <sheetData>
    <row r="1" spans="2:5" ht="29.25" customHeight="1" thickBot="1" x14ac:dyDescent="0.3"/>
    <row r="2" spans="2:5" x14ac:dyDescent="0.25">
      <c r="B2" s="19"/>
      <c r="C2" s="20"/>
      <c r="D2" s="20"/>
      <c r="E2" s="21" t="s">
        <v>218</v>
      </c>
    </row>
    <row r="3" spans="2:5" x14ac:dyDescent="0.25">
      <c r="B3" s="22"/>
      <c r="C3" s="23"/>
      <c r="D3" s="23"/>
      <c r="E3" s="24"/>
    </row>
    <row r="4" spans="2:5" x14ac:dyDescent="0.25">
      <c r="B4" s="22"/>
      <c r="C4" s="23"/>
      <c r="D4" s="23"/>
      <c r="E4" s="24"/>
    </row>
    <row r="5" spans="2:5" hidden="1" x14ac:dyDescent="0.25">
      <c r="B5" s="22"/>
      <c r="C5" s="23"/>
      <c r="D5" s="23"/>
      <c r="E5" s="24"/>
    </row>
    <row r="6" spans="2:5" ht="20.25" x14ac:dyDescent="0.3">
      <c r="B6" s="38" t="s">
        <v>237</v>
      </c>
      <c r="C6" s="39"/>
      <c r="D6" s="39"/>
      <c r="E6" s="40"/>
    </row>
    <row r="7" spans="2:5" x14ac:dyDescent="0.25">
      <c r="B7" s="25"/>
      <c r="C7" s="26"/>
      <c r="D7" s="26"/>
      <c r="E7" s="27"/>
    </row>
    <row r="8" spans="2:5" x14ac:dyDescent="0.25">
      <c r="B8" s="28"/>
      <c r="C8" s="29"/>
      <c r="D8" s="29"/>
      <c r="E8" s="30"/>
    </row>
    <row r="9" spans="2:5" x14ac:dyDescent="0.25">
      <c r="B9" s="28" t="s">
        <v>220</v>
      </c>
      <c r="C9" s="29"/>
      <c r="D9" s="43">
        <v>43221</v>
      </c>
      <c r="E9" s="30"/>
    </row>
    <row r="10" spans="2:5" x14ac:dyDescent="0.25">
      <c r="B10" s="28" t="s">
        <v>221</v>
      </c>
      <c r="C10" s="29"/>
      <c r="D10" s="43">
        <v>43221</v>
      </c>
      <c r="E10" s="30"/>
    </row>
    <row r="11" spans="2:5" x14ac:dyDescent="0.25">
      <c r="B11" s="28"/>
      <c r="C11" s="29"/>
      <c r="D11" s="29"/>
      <c r="E11" s="30"/>
    </row>
    <row r="12" spans="2:5" x14ac:dyDescent="0.25">
      <c r="B12" s="28" t="s">
        <v>222</v>
      </c>
      <c r="C12" s="29"/>
      <c r="D12" s="44" t="s">
        <v>236</v>
      </c>
      <c r="E12" s="30"/>
    </row>
    <row r="13" spans="2:5" x14ac:dyDescent="0.25">
      <c r="B13" s="28"/>
      <c r="C13" s="29"/>
      <c r="D13" s="29"/>
      <c r="E13" s="30"/>
    </row>
    <row r="14" spans="2:5" x14ac:dyDescent="0.25">
      <c r="B14" s="28" t="s">
        <v>219</v>
      </c>
      <c r="C14" s="29"/>
      <c r="D14" s="49">
        <f>D10-D9+1</f>
        <v>1</v>
      </c>
      <c r="E14" s="30"/>
    </row>
    <row r="15" spans="2:5" ht="17.25" x14ac:dyDescent="0.25">
      <c r="B15" s="28"/>
      <c r="C15" s="29" t="s">
        <v>241</v>
      </c>
      <c r="D15" s="45">
        <v>0</v>
      </c>
      <c r="E15" s="30"/>
    </row>
    <row r="16" spans="2:5" ht="17.25" x14ac:dyDescent="0.25">
      <c r="B16" s="28"/>
      <c r="C16" s="29" t="s">
        <v>242</v>
      </c>
      <c r="D16" s="45">
        <v>0</v>
      </c>
      <c r="E16" s="30"/>
    </row>
    <row r="17" spans="2:5" x14ac:dyDescent="0.25">
      <c r="B17" s="28"/>
      <c r="C17" s="29"/>
      <c r="D17" s="42" t="str">
        <f>IF(3*D14&lt;3*D15+D16,"Příliš mnoho neúčtovaných dní a poskytnutých jídel!","")</f>
        <v/>
      </c>
      <c r="E17" s="30"/>
    </row>
    <row r="18" spans="2:5" ht="15.75" thickBot="1" x14ac:dyDescent="0.3">
      <c r="B18" s="28"/>
      <c r="C18" s="29"/>
      <c r="D18" s="29"/>
      <c r="E18" s="30"/>
    </row>
    <row r="19" spans="2:5" x14ac:dyDescent="0.25">
      <c r="B19" s="31" t="s">
        <v>229</v>
      </c>
      <c r="C19" s="32"/>
      <c r="D19" s="32"/>
      <c r="E19" s="33"/>
    </row>
    <row r="20" spans="2:5" ht="17.25" x14ac:dyDescent="0.25">
      <c r="B20" s="28"/>
      <c r="C20" s="29" t="s">
        <v>238</v>
      </c>
      <c r="D20" s="46">
        <v>0</v>
      </c>
      <c r="E20" s="30"/>
    </row>
    <row r="21" spans="2:5" ht="17.25" x14ac:dyDescent="0.25">
      <c r="B21" s="28"/>
      <c r="C21" s="29" t="s">
        <v>239</v>
      </c>
      <c r="D21" s="46">
        <v>0</v>
      </c>
      <c r="E21" s="30"/>
    </row>
    <row r="22" spans="2:5" ht="17.25" x14ac:dyDescent="0.25">
      <c r="B22" s="28"/>
      <c r="C22" s="29" t="s">
        <v>240</v>
      </c>
      <c r="D22" s="46">
        <v>0</v>
      </c>
      <c r="E22" s="30"/>
    </row>
    <row r="23" spans="2:5" ht="15.75" thickBot="1" x14ac:dyDescent="0.3">
      <c r="B23" s="28"/>
      <c r="C23" s="29"/>
      <c r="D23" s="29"/>
      <c r="E23" s="30"/>
    </row>
    <row r="24" spans="2:5" x14ac:dyDescent="0.25">
      <c r="B24" s="31" t="s">
        <v>231</v>
      </c>
      <c r="C24" s="32"/>
      <c r="D24" s="32"/>
      <c r="E24" s="33"/>
    </row>
    <row r="25" spans="2:5" x14ac:dyDescent="0.25">
      <c r="B25" s="28"/>
      <c r="C25" s="29" t="s">
        <v>232</v>
      </c>
      <c r="D25" s="47">
        <f>IF(($D$14-$D$15-$D$16*0.25)&gt;0,($D$14-$D$15-$D$16*0.25),0)*VLOOKUP($D$12,Sazby!$A$2:$H$204,4,0)</f>
        <v>0</v>
      </c>
      <c r="E25" s="30"/>
    </row>
    <row r="26" spans="2:5" x14ac:dyDescent="0.25">
      <c r="B26" s="28"/>
      <c r="C26" s="29" t="s">
        <v>230</v>
      </c>
      <c r="D26" s="47">
        <f>IF(EXACT(D20,0),($D$14-1)*IF(EXACT(VLOOKUP($D$12,Sazby!$A$2:$H$204,7,0),""),VLOOKUP($D$12,Sazby!$A$2:$H$204,4,0)*VLOOKUP(VLOOKUP($D$12,Sazby!$A$2:$H$204,5,0),Sazby!$J$16:$K$21,2,0),VLOOKUP($D$12,Sazby!$A$2:$H$204,7,0)),D20)</f>
        <v>0</v>
      </c>
      <c r="E26" s="30"/>
    </row>
    <row r="27" spans="2:5" x14ac:dyDescent="0.25">
      <c r="B27" s="28"/>
      <c r="C27" s="29" t="s">
        <v>233</v>
      </c>
      <c r="D27" s="47">
        <f>IF(EXACT(D21,0),IF(EXACT(VLOOKUP($D$12,Sazby!$A$2:$H$204,6,0),""),VLOOKUP(VLOOKUP($D$12,Sazby!$A$2:$H$204,5,0),Sazby!$J$7:$K$13,2,0),VLOOKUP($D$12,Sazby!$A$2:$H$204,6,0)),D21)</f>
        <v>1E-3</v>
      </c>
      <c r="E27" s="30"/>
    </row>
    <row r="28" spans="2:5" x14ac:dyDescent="0.25">
      <c r="B28" s="28"/>
      <c r="C28" s="29" t="s">
        <v>234</v>
      </c>
      <c r="D28" s="47">
        <f>D22</f>
        <v>0</v>
      </c>
      <c r="E28" s="30"/>
    </row>
    <row r="29" spans="2:5" x14ac:dyDescent="0.25">
      <c r="B29" s="28"/>
      <c r="C29" s="29"/>
      <c r="D29" s="29"/>
      <c r="E29" s="30"/>
    </row>
    <row r="30" spans="2:5" ht="20.25" x14ac:dyDescent="0.3">
      <c r="B30" s="28"/>
      <c r="C30" s="34" t="s">
        <v>235</v>
      </c>
      <c r="D30" s="48">
        <f>SUM(D25:D28)</f>
        <v>1E-3</v>
      </c>
      <c r="E30" s="30"/>
    </row>
    <row r="31" spans="2:5" ht="15.75" thickBot="1" x14ac:dyDescent="0.3">
      <c r="B31" s="35"/>
      <c r="C31" s="36"/>
      <c r="D31" s="36"/>
      <c r="E31" s="37"/>
    </row>
    <row r="33" spans="3:3" ht="18" x14ac:dyDescent="0.25">
      <c r="C33" s="41" t="s">
        <v>247</v>
      </c>
    </row>
    <row r="34" spans="3:3" ht="18" x14ac:dyDescent="0.25">
      <c r="C34" s="14" t="s">
        <v>246</v>
      </c>
    </row>
    <row r="35" spans="3:3" ht="18" x14ac:dyDescent="0.25">
      <c r="C35" s="14" t="s">
        <v>245</v>
      </c>
    </row>
    <row r="36" spans="3:3" ht="18" x14ac:dyDescent="0.25">
      <c r="C36" s="14" t="s">
        <v>244</v>
      </c>
    </row>
    <row r="37" spans="3:3" ht="18" x14ac:dyDescent="0.25">
      <c r="C37" s="14" t="s">
        <v>243</v>
      </c>
    </row>
  </sheetData>
  <sheetProtection algorithmName="SHA-512" hashValue="PlN0EQ2pSPvHcMvMR9NeEkNc4PLKFywminvFQ0pYQi+Af74+q03BPq/XkEjKUldQVQaHFfyw6clGPJKtAHE25w==" saltValue="Woe2yCWmcsXP4mKd0RJTMQ==" spinCount="100000" sheet="1" objects="1" scenarios="1"/>
  <mergeCells count="1">
    <mergeCell ref="B6:E6"/>
  </mergeCells>
  <dataValidations count="4">
    <dataValidation type="list" allowBlank="1" showInputMessage="1" showErrorMessage="1" sqref="D12">
      <formula1>list_of_countries</formula1>
    </dataValidation>
    <dataValidation type="whole" allowBlank="1" showInputMessage="1" showErrorMessage="1" sqref="D20:D22">
      <formula1>0</formula1>
      <formula2>100000</formula2>
    </dataValidation>
    <dataValidation type="date" allowBlank="1" showInputMessage="1" showErrorMessage="1" sqref="D9">
      <formula1>43101</formula1>
      <formula2>43465</formula2>
    </dataValidation>
    <dataValidation type="date" allowBlank="1" showInputMessage="1" showErrorMessage="1" sqref="D10">
      <formula1>D9</formula1>
      <formula2>43465</formula2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5"/>
  <sheetViews>
    <sheetView workbookViewId="0">
      <selection activeCell="F13" sqref="F13"/>
    </sheetView>
  </sheetViews>
  <sheetFormatPr defaultRowHeight="15" x14ac:dyDescent="0.25"/>
  <cols>
    <col min="1" max="1" width="38" style="18" customWidth="1"/>
    <col min="2" max="2" width="9" style="13" customWidth="1"/>
    <col min="3" max="3" width="9.140625" customWidth="1"/>
    <col min="4" max="4" width="11.5703125" style="5" customWidth="1"/>
    <col min="5" max="5" width="21.140625" style="5" customWidth="1"/>
    <col min="6" max="6" width="13.140625" style="5" customWidth="1"/>
    <col min="7" max="8" width="15" style="5" customWidth="1"/>
    <col min="9" max="9" width="16.85546875" customWidth="1"/>
    <col min="10" max="10" width="26.5703125" customWidth="1"/>
    <col min="11" max="11" width="27.42578125" style="5" customWidth="1"/>
    <col min="12" max="12" width="37.42578125" customWidth="1"/>
    <col min="13" max="13" width="57.7109375" customWidth="1"/>
    <col min="14" max="14" width="30.140625" customWidth="1"/>
  </cols>
  <sheetData>
    <row r="1" spans="1:11" ht="26.25" thickBot="1" x14ac:dyDescent="0.3">
      <c r="A1" s="15" t="s">
        <v>0</v>
      </c>
      <c r="B1" s="1" t="s">
        <v>225</v>
      </c>
      <c r="C1" s="4" t="s">
        <v>226</v>
      </c>
      <c r="D1" s="9" t="s">
        <v>217</v>
      </c>
      <c r="E1" s="9" t="s">
        <v>227</v>
      </c>
      <c r="F1" s="9" t="s">
        <v>174</v>
      </c>
      <c r="G1" s="10" t="s">
        <v>215</v>
      </c>
      <c r="H1" s="10" t="s">
        <v>228</v>
      </c>
      <c r="J1" s="6" t="s">
        <v>173</v>
      </c>
      <c r="K1" s="7"/>
    </row>
    <row r="2" spans="1:11" ht="20.100000000000001" customHeight="1" thickBot="1" x14ac:dyDescent="0.3">
      <c r="A2" s="16" t="s">
        <v>1</v>
      </c>
      <c r="B2" s="2" t="s">
        <v>2</v>
      </c>
      <c r="C2">
        <v>40</v>
      </c>
      <c r="D2" s="5">
        <f t="shared" ref="D2:D65" si="0">C2*VLOOKUP($B2,$J$2:$K$4,2)</f>
        <v>1020</v>
      </c>
      <c r="E2" s="5" t="s">
        <v>179</v>
      </c>
      <c r="J2" s="8" t="s">
        <v>2</v>
      </c>
      <c r="K2" s="7">
        <v>25.5</v>
      </c>
    </row>
    <row r="3" spans="1:11" ht="20.100000000000001" customHeight="1" thickBot="1" x14ac:dyDescent="0.3">
      <c r="A3" s="17" t="s">
        <v>3</v>
      </c>
      <c r="B3" s="3" t="s">
        <v>2</v>
      </c>
      <c r="C3">
        <v>35</v>
      </c>
      <c r="D3" s="5">
        <f t="shared" si="0"/>
        <v>892.5</v>
      </c>
      <c r="E3" s="5" t="s">
        <v>184</v>
      </c>
      <c r="J3" s="8" t="s">
        <v>7</v>
      </c>
      <c r="K3" s="7">
        <v>20.5</v>
      </c>
    </row>
    <row r="4" spans="1:11" ht="20.100000000000001" customHeight="1" thickBot="1" x14ac:dyDescent="0.3">
      <c r="A4" s="16" t="s">
        <v>4</v>
      </c>
      <c r="B4" s="2" t="s">
        <v>2</v>
      </c>
      <c r="C4">
        <v>45</v>
      </c>
      <c r="D4" s="5">
        <f t="shared" si="0"/>
        <v>1147.5</v>
      </c>
      <c r="E4" s="5" t="s">
        <v>177</v>
      </c>
      <c r="F4" s="5">
        <f>ROUND(2134+1942,-2)</f>
        <v>4100</v>
      </c>
      <c r="G4" s="5">
        <v>2500</v>
      </c>
      <c r="H4" s="5">
        <f>G4/D4</f>
        <v>2.1786492374727668</v>
      </c>
      <c r="J4" s="8" t="s">
        <v>90</v>
      </c>
      <c r="K4" s="7">
        <v>22</v>
      </c>
    </row>
    <row r="5" spans="1:11" ht="20.100000000000001" customHeight="1" thickBot="1" x14ac:dyDescent="0.3">
      <c r="A5" s="17" t="s">
        <v>5</v>
      </c>
      <c r="B5" s="3" t="s">
        <v>2</v>
      </c>
      <c r="C5">
        <v>40</v>
      </c>
      <c r="D5" s="5">
        <f t="shared" si="0"/>
        <v>1020</v>
      </c>
      <c r="E5" s="5" t="s">
        <v>184</v>
      </c>
    </row>
    <row r="6" spans="1:11" ht="20.100000000000001" customHeight="1" thickBot="1" x14ac:dyDescent="0.3">
      <c r="A6" s="16" t="s">
        <v>6</v>
      </c>
      <c r="B6" s="2" t="s">
        <v>7</v>
      </c>
      <c r="C6">
        <v>60</v>
      </c>
      <c r="D6" s="5">
        <f t="shared" si="0"/>
        <v>1230</v>
      </c>
      <c r="E6" s="5" t="s">
        <v>177</v>
      </c>
      <c r="J6" s="11" t="s">
        <v>175</v>
      </c>
      <c r="K6" s="12" t="s">
        <v>214</v>
      </c>
    </row>
    <row r="7" spans="1:11" ht="20.100000000000001" customHeight="1" thickBot="1" x14ac:dyDescent="0.3">
      <c r="A7" s="16" t="s">
        <v>186</v>
      </c>
      <c r="B7" s="2" t="s">
        <v>7</v>
      </c>
      <c r="C7">
        <v>55</v>
      </c>
      <c r="D7" s="5">
        <f t="shared" si="0"/>
        <v>1127.5</v>
      </c>
      <c r="E7" s="5" t="s">
        <v>197</v>
      </c>
      <c r="J7" s="11" t="s">
        <v>177</v>
      </c>
      <c r="K7" s="12">
        <f t="shared" ref="K7:K11" si="1">ROUND(AVERAGEIF($E$2:$E$204,CONCATENATE("=",J7),$F$2:$F$204),-2)</f>
        <v>8900</v>
      </c>
    </row>
    <row r="8" spans="1:11" ht="20.100000000000001" customHeight="1" thickBot="1" x14ac:dyDescent="0.3">
      <c r="A8" s="17" t="s">
        <v>8</v>
      </c>
      <c r="B8" s="3" t="s">
        <v>7</v>
      </c>
      <c r="C8">
        <v>45</v>
      </c>
      <c r="D8" s="5">
        <f t="shared" si="0"/>
        <v>922.5</v>
      </c>
      <c r="E8" s="5" t="s">
        <v>185</v>
      </c>
      <c r="F8" s="5">
        <f>ROUND(7944+10800,-2)</f>
        <v>18700</v>
      </c>
      <c r="G8" s="5">
        <v>1900</v>
      </c>
      <c r="H8" s="5">
        <f>G8/D8</f>
        <v>2.0596205962059622</v>
      </c>
      <c r="J8" s="11" t="s">
        <v>179</v>
      </c>
      <c r="K8" s="12">
        <f t="shared" si="1"/>
        <v>10600</v>
      </c>
    </row>
    <row r="9" spans="1:11" ht="20.100000000000001" customHeight="1" thickBot="1" x14ac:dyDescent="0.3">
      <c r="A9" s="16" t="s">
        <v>9</v>
      </c>
      <c r="B9" s="2" t="s">
        <v>2</v>
      </c>
      <c r="C9">
        <v>35</v>
      </c>
      <c r="D9" s="5">
        <f t="shared" si="0"/>
        <v>892.5</v>
      </c>
      <c r="E9" s="5" t="s">
        <v>179</v>
      </c>
      <c r="J9" s="11" t="s">
        <v>197</v>
      </c>
      <c r="K9" s="12">
        <f t="shared" si="1"/>
        <v>15000</v>
      </c>
    </row>
    <row r="10" spans="1:11" ht="20.100000000000001" customHeight="1" thickBot="1" x14ac:dyDescent="0.3">
      <c r="A10" s="17" t="s">
        <v>198</v>
      </c>
      <c r="B10" s="3" t="s">
        <v>7</v>
      </c>
      <c r="C10">
        <v>55</v>
      </c>
      <c r="D10" s="5">
        <f t="shared" si="0"/>
        <v>1127.5</v>
      </c>
      <c r="E10" s="5" t="s">
        <v>213</v>
      </c>
      <c r="F10" s="5">
        <f>ROUND(7380+11400,-2)</f>
        <v>18800</v>
      </c>
      <c r="G10" s="5">
        <v>2800</v>
      </c>
      <c r="H10" s="5">
        <f>G10/D10</f>
        <v>2.4833702882483371</v>
      </c>
      <c r="J10" s="11" t="s">
        <v>185</v>
      </c>
      <c r="K10" s="12">
        <f t="shared" si="1"/>
        <v>17800</v>
      </c>
    </row>
    <row r="11" spans="1:11" ht="20.100000000000001" customHeight="1" thickBot="1" x14ac:dyDescent="0.3">
      <c r="A11" s="16" t="s">
        <v>10</v>
      </c>
      <c r="B11" s="2" t="s">
        <v>2</v>
      </c>
      <c r="C11">
        <v>40</v>
      </c>
      <c r="D11" s="5">
        <f t="shared" si="0"/>
        <v>1020</v>
      </c>
      <c r="E11" s="5" t="s">
        <v>179</v>
      </c>
      <c r="J11" s="11" t="s">
        <v>213</v>
      </c>
      <c r="K11" s="12">
        <f t="shared" si="1"/>
        <v>23500</v>
      </c>
    </row>
    <row r="12" spans="1:11" ht="20.100000000000001" customHeight="1" thickBot="1" x14ac:dyDescent="0.3">
      <c r="A12" s="16" t="s">
        <v>223</v>
      </c>
      <c r="B12" s="2" t="s">
        <v>2</v>
      </c>
      <c r="C12">
        <v>40</v>
      </c>
      <c r="D12" s="5">
        <f t="shared" si="0"/>
        <v>1020</v>
      </c>
      <c r="E12" s="5" t="s">
        <v>184</v>
      </c>
      <c r="J12" s="11" t="s">
        <v>184</v>
      </c>
      <c r="K12" s="12">
        <f>ROUND(AVERAGEIF($E$2:$E$204,CONCATENATE("=",J12),$F$2:$F$204),-2)</f>
        <v>4000</v>
      </c>
    </row>
    <row r="13" spans="1:11" ht="20.100000000000001" customHeight="1" thickBot="1" x14ac:dyDescent="0.3">
      <c r="A13" s="16" t="s">
        <v>11</v>
      </c>
      <c r="B13" s="2" t="s">
        <v>7</v>
      </c>
      <c r="C13">
        <v>55</v>
      </c>
      <c r="D13" s="5">
        <f t="shared" si="0"/>
        <v>1127.5</v>
      </c>
      <c r="E13" s="5" t="s">
        <v>197</v>
      </c>
      <c r="J13" s="11" t="s">
        <v>236</v>
      </c>
      <c r="K13" s="12">
        <f>ROUND(AVERAGEIF($E$2:$E$204,CONCATENATE("=",J13),$F$2:$F$204),-2)</f>
        <v>0</v>
      </c>
    </row>
    <row r="14" spans="1:11" ht="20.100000000000001" customHeight="1" thickBot="1" x14ac:dyDescent="0.3">
      <c r="A14" s="17" t="s">
        <v>12</v>
      </c>
      <c r="B14" s="3" t="s">
        <v>2</v>
      </c>
      <c r="C14">
        <v>40</v>
      </c>
      <c r="D14" s="5">
        <f t="shared" si="0"/>
        <v>1020</v>
      </c>
      <c r="E14" s="5" t="s">
        <v>179</v>
      </c>
    </row>
    <row r="15" spans="1:11" ht="20.100000000000001" customHeight="1" thickBot="1" x14ac:dyDescent="0.3">
      <c r="A15" s="16" t="s">
        <v>13</v>
      </c>
      <c r="B15" s="2" t="s">
        <v>7</v>
      </c>
      <c r="C15">
        <v>50</v>
      </c>
      <c r="D15" s="5">
        <f t="shared" si="0"/>
        <v>1025</v>
      </c>
      <c r="E15" s="5" t="s">
        <v>179</v>
      </c>
      <c r="J15" s="11" t="s">
        <v>175</v>
      </c>
      <c r="K15" s="12" t="s">
        <v>216</v>
      </c>
    </row>
    <row r="16" spans="1:11" ht="20.100000000000001" customHeight="1" thickBot="1" x14ac:dyDescent="0.3">
      <c r="A16" s="16" t="s">
        <v>187</v>
      </c>
      <c r="B16" s="2" t="s">
        <v>7</v>
      </c>
      <c r="C16">
        <v>55</v>
      </c>
      <c r="D16" s="5">
        <f t="shared" si="0"/>
        <v>1127.5</v>
      </c>
      <c r="E16" s="5" t="s">
        <v>197</v>
      </c>
      <c r="J16" s="11" t="s">
        <v>177</v>
      </c>
      <c r="K16" s="12">
        <f>ROUND(AVERAGEIF($E$2:$E$204,CONCATENATE("=",J16),$H$2:$H$204),2)</f>
        <v>2.2400000000000002</v>
      </c>
    </row>
    <row r="17" spans="1:11" ht="20.100000000000001" customHeight="1" thickBot="1" x14ac:dyDescent="0.3">
      <c r="A17" s="17" t="s">
        <v>14</v>
      </c>
      <c r="B17" s="3" t="s">
        <v>2</v>
      </c>
      <c r="C17">
        <v>50</v>
      </c>
      <c r="D17" s="5">
        <f t="shared" si="0"/>
        <v>1275</v>
      </c>
      <c r="E17" s="5" t="s">
        <v>184</v>
      </c>
      <c r="F17" s="5">
        <f>ROUND(1983+2341,-2)</f>
        <v>4300</v>
      </c>
      <c r="G17" s="5">
        <v>2500</v>
      </c>
      <c r="H17" s="5">
        <f>G17/D17</f>
        <v>1.9607843137254901</v>
      </c>
      <c r="J17" s="11" t="s">
        <v>179</v>
      </c>
      <c r="K17" s="12">
        <f t="shared" ref="K17:K21" si="2">ROUND(AVERAGEIF($E$2:$E$204,CONCATENATE("=",J17),$H$2:$H$204),2)</f>
        <v>1.5</v>
      </c>
    </row>
    <row r="18" spans="1:11" ht="20.100000000000001" customHeight="1" thickBot="1" x14ac:dyDescent="0.3">
      <c r="A18" s="16" t="s">
        <v>15</v>
      </c>
      <c r="B18" s="2" t="s">
        <v>7</v>
      </c>
      <c r="C18">
        <v>50</v>
      </c>
      <c r="D18" s="5">
        <f t="shared" si="0"/>
        <v>1025</v>
      </c>
      <c r="E18" s="5" t="s">
        <v>197</v>
      </c>
      <c r="J18" s="11" t="s">
        <v>197</v>
      </c>
      <c r="K18" s="12">
        <f t="shared" si="2"/>
        <v>2.63</v>
      </c>
    </row>
    <row r="19" spans="1:11" ht="20.100000000000001" customHeight="1" thickBot="1" x14ac:dyDescent="0.3">
      <c r="A19" s="17" t="s">
        <v>18</v>
      </c>
      <c r="B19" s="3" t="s">
        <v>2</v>
      </c>
      <c r="C19">
        <v>45</v>
      </c>
      <c r="D19" s="5">
        <f t="shared" si="0"/>
        <v>1147.5</v>
      </c>
      <c r="E19" s="5" t="s">
        <v>184</v>
      </c>
      <c r="J19" s="11" t="s">
        <v>185</v>
      </c>
      <c r="K19" s="12">
        <f t="shared" si="2"/>
        <v>2.5099999999999998</v>
      </c>
    </row>
    <row r="20" spans="1:11" ht="20.100000000000001" customHeight="1" thickBot="1" x14ac:dyDescent="0.3">
      <c r="A20" s="17" t="s">
        <v>16</v>
      </c>
      <c r="B20" s="3" t="s">
        <v>2</v>
      </c>
      <c r="C20">
        <v>45</v>
      </c>
      <c r="D20" s="5">
        <f t="shared" si="0"/>
        <v>1147.5</v>
      </c>
      <c r="E20" s="5" t="s">
        <v>177</v>
      </c>
      <c r="J20" s="11" t="s">
        <v>213</v>
      </c>
      <c r="K20" s="12">
        <f t="shared" si="2"/>
        <v>2.13</v>
      </c>
    </row>
    <row r="21" spans="1:11" ht="20.100000000000001" customHeight="1" thickBot="1" x14ac:dyDescent="0.3">
      <c r="A21" s="16" t="s">
        <v>17</v>
      </c>
      <c r="B21" s="2" t="s">
        <v>7</v>
      </c>
      <c r="C21">
        <v>50</v>
      </c>
      <c r="D21" s="5">
        <f t="shared" si="0"/>
        <v>1025</v>
      </c>
      <c r="E21" s="5" t="s">
        <v>197</v>
      </c>
      <c r="J21" s="11" t="s">
        <v>184</v>
      </c>
      <c r="K21" s="12">
        <f t="shared" si="2"/>
        <v>2.3199999999999998</v>
      </c>
    </row>
    <row r="22" spans="1:11" ht="20.100000000000001" customHeight="1" thickBot="1" x14ac:dyDescent="0.3">
      <c r="A22" s="16" t="s">
        <v>19</v>
      </c>
      <c r="B22" s="2" t="s">
        <v>7</v>
      </c>
      <c r="C22">
        <v>50</v>
      </c>
      <c r="D22" s="5">
        <f t="shared" si="0"/>
        <v>1025</v>
      </c>
      <c r="E22" s="5" t="s">
        <v>179</v>
      </c>
      <c r="J22" s="11" t="s">
        <v>236</v>
      </c>
      <c r="K22" s="12">
        <f t="shared" ref="K22" si="3">ROUND(AVERAGEIF($E$2:$E$204,CONCATENATE("=",J22),$H$2:$H$204),2)</f>
        <v>1</v>
      </c>
    </row>
    <row r="23" spans="1:11" ht="20.100000000000001" customHeight="1" thickBot="1" x14ac:dyDescent="0.3">
      <c r="A23" s="17" t="s">
        <v>20</v>
      </c>
      <c r="B23" s="3" t="s">
        <v>7</v>
      </c>
      <c r="C23">
        <v>50</v>
      </c>
      <c r="D23" s="5">
        <f t="shared" si="0"/>
        <v>1025</v>
      </c>
      <c r="E23" s="5" t="s">
        <v>185</v>
      </c>
    </row>
    <row r="24" spans="1:11" ht="20.100000000000001" customHeight="1" thickBot="1" x14ac:dyDescent="0.3">
      <c r="A24" s="16" t="s">
        <v>21</v>
      </c>
      <c r="B24" s="2" t="s">
        <v>2</v>
      </c>
      <c r="C24">
        <v>35</v>
      </c>
      <c r="D24" s="5">
        <f t="shared" si="0"/>
        <v>892.5</v>
      </c>
      <c r="E24" s="5" t="s">
        <v>184</v>
      </c>
      <c r="F24" s="5">
        <f>ROUND(2561+2589,-2)</f>
        <v>5200</v>
      </c>
      <c r="G24" s="5">
        <v>2200</v>
      </c>
      <c r="H24" s="5">
        <f>G24/D24</f>
        <v>2.4649859943977592</v>
      </c>
    </row>
    <row r="25" spans="1:11" ht="20.100000000000001" customHeight="1" thickBot="1" x14ac:dyDescent="0.3">
      <c r="A25" s="17" t="s">
        <v>22</v>
      </c>
      <c r="B25" s="3" t="s">
        <v>7</v>
      </c>
      <c r="C25">
        <v>55</v>
      </c>
      <c r="D25" s="5">
        <f t="shared" si="0"/>
        <v>1127.5</v>
      </c>
      <c r="E25" s="5" t="s">
        <v>177</v>
      </c>
    </row>
    <row r="26" spans="1:11" ht="20.100000000000001" customHeight="1" thickBot="1" x14ac:dyDescent="0.3">
      <c r="A26" s="16" t="s">
        <v>23</v>
      </c>
      <c r="B26" s="2" t="s">
        <v>7</v>
      </c>
      <c r="C26">
        <v>55</v>
      </c>
      <c r="D26" s="5">
        <f t="shared" si="0"/>
        <v>1127.5</v>
      </c>
      <c r="E26" s="5" t="s">
        <v>185</v>
      </c>
      <c r="F26" s="5">
        <f>ROUND(6223+9600,-2)</f>
        <v>15800</v>
      </c>
      <c r="G26" s="5">
        <v>1600</v>
      </c>
      <c r="H26" s="5">
        <f>G26/D26</f>
        <v>1.419068736141907</v>
      </c>
    </row>
    <row r="27" spans="1:11" ht="20.100000000000001" customHeight="1" thickBot="1" x14ac:dyDescent="0.3">
      <c r="A27" s="17" t="s">
        <v>24</v>
      </c>
      <c r="B27" s="3" t="s">
        <v>7</v>
      </c>
      <c r="C27">
        <v>40</v>
      </c>
      <c r="D27" s="5">
        <f t="shared" si="0"/>
        <v>820</v>
      </c>
      <c r="E27" s="5" t="s">
        <v>179</v>
      </c>
    </row>
    <row r="28" spans="1:11" ht="20.100000000000001" customHeight="1" thickBot="1" x14ac:dyDescent="0.3">
      <c r="A28" s="16" t="s">
        <v>25</v>
      </c>
      <c r="B28" s="2" t="s">
        <v>2</v>
      </c>
      <c r="C28">
        <v>35</v>
      </c>
      <c r="D28" s="5">
        <f t="shared" si="0"/>
        <v>892.5</v>
      </c>
      <c r="E28" s="5" t="s">
        <v>184</v>
      </c>
      <c r="F28" s="5">
        <f>ROUND(1240+2258,-2)</f>
        <v>3500</v>
      </c>
      <c r="G28" s="5">
        <v>1800</v>
      </c>
      <c r="H28" s="5">
        <f>G28/D28</f>
        <v>2.0168067226890756</v>
      </c>
    </row>
    <row r="29" spans="1:11" ht="20.100000000000001" customHeight="1" thickBot="1" x14ac:dyDescent="0.3">
      <c r="A29" s="17" t="s">
        <v>26</v>
      </c>
      <c r="B29" s="3" t="s">
        <v>2</v>
      </c>
      <c r="C29">
        <v>40</v>
      </c>
      <c r="D29" s="5">
        <f t="shared" si="0"/>
        <v>1020</v>
      </c>
      <c r="E29" s="5" t="s">
        <v>177</v>
      </c>
    </row>
    <row r="30" spans="1:11" ht="20.100000000000001" customHeight="1" thickBot="1" x14ac:dyDescent="0.3">
      <c r="A30" s="16" t="s">
        <v>27</v>
      </c>
      <c r="B30" s="2" t="s">
        <v>7</v>
      </c>
      <c r="C30">
        <v>55</v>
      </c>
      <c r="D30" s="5">
        <f t="shared" si="0"/>
        <v>1127.5</v>
      </c>
      <c r="E30" s="5" t="s">
        <v>177</v>
      </c>
    </row>
    <row r="31" spans="1:11" ht="20.100000000000001" customHeight="1" thickBot="1" x14ac:dyDescent="0.3">
      <c r="A31" s="17" t="s">
        <v>199</v>
      </c>
      <c r="B31" s="3" t="s">
        <v>7</v>
      </c>
      <c r="C31">
        <v>55</v>
      </c>
      <c r="D31" s="5">
        <f t="shared" si="0"/>
        <v>1127.5</v>
      </c>
      <c r="E31" s="5" t="s">
        <v>213</v>
      </c>
    </row>
    <row r="32" spans="1:11" ht="20.100000000000001" customHeight="1" thickBot="1" x14ac:dyDescent="0.3">
      <c r="A32" s="16" t="s">
        <v>28</v>
      </c>
      <c r="B32" s="2" t="s">
        <v>2</v>
      </c>
      <c r="C32">
        <v>45</v>
      </c>
      <c r="D32" s="5">
        <f t="shared" si="0"/>
        <v>1147.5</v>
      </c>
      <c r="E32" s="5" t="s">
        <v>177</v>
      </c>
    </row>
    <row r="33" spans="1:8" ht="20.100000000000001" customHeight="1" thickBot="1" x14ac:dyDescent="0.3">
      <c r="A33" s="17" t="s">
        <v>29</v>
      </c>
      <c r="B33" s="3" t="s">
        <v>2</v>
      </c>
      <c r="C33">
        <v>35</v>
      </c>
      <c r="D33" s="5">
        <f t="shared" si="0"/>
        <v>892.5</v>
      </c>
      <c r="E33" s="5" t="s">
        <v>184</v>
      </c>
      <c r="F33" s="5">
        <f>ROUND(2919+2534,-2)</f>
        <v>5500</v>
      </c>
      <c r="G33" s="5">
        <v>1400</v>
      </c>
      <c r="H33" s="5">
        <f>G33/D33</f>
        <v>1.5686274509803921</v>
      </c>
    </row>
    <row r="34" spans="1:8" ht="20.100000000000001" customHeight="1" thickBot="1" x14ac:dyDescent="0.3">
      <c r="A34" s="16" t="s">
        <v>30</v>
      </c>
      <c r="B34" s="2" t="s">
        <v>2</v>
      </c>
      <c r="C34">
        <v>45</v>
      </c>
      <c r="D34" s="5">
        <f t="shared" si="0"/>
        <v>1147.5</v>
      </c>
      <c r="E34" s="5" t="s">
        <v>179</v>
      </c>
      <c r="F34" s="5">
        <f>ROUND(4365+4970,-2)</f>
        <v>9300</v>
      </c>
      <c r="G34" s="5">
        <v>1200</v>
      </c>
      <c r="H34" s="5">
        <f>G34/D34</f>
        <v>1.0457516339869282</v>
      </c>
    </row>
    <row r="35" spans="1:8" ht="20.100000000000001" customHeight="1" thickBot="1" x14ac:dyDescent="0.3">
      <c r="A35" s="16" t="s">
        <v>31</v>
      </c>
      <c r="B35" s="2" t="s">
        <v>2</v>
      </c>
      <c r="C35">
        <v>50</v>
      </c>
      <c r="D35" s="5">
        <f t="shared" si="0"/>
        <v>1275</v>
      </c>
      <c r="E35" s="5" t="s">
        <v>184</v>
      </c>
      <c r="F35" s="5">
        <f>ROUND(1281+1198,-2)</f>
        <v>2500</v>
      </c>
      <c r="G35" s="5">
        <v>4800</v>
      </c>
      <c r="H35" s="5">
        <f>G35/D35</f>
        <v>3.7647058823529411</v>
      </c>
    </row>
    <row r="36" spans="1:8" ht="20.100000000000001" customHeight="1" thickBot="1" x14ac:dyDescent="0.3">
      <c r="A36" s="17" t="s">
        <v>224</v>
      </c>
      <c r="B36" s="3" t="s">
        <v>7</v>
      </c>
      <c r="C36">
        <v>60</v>
      </c>
      <c r="D36" s="5">
        <f t="shared" si="0"/>
        <v>1230</v>
      </c>
      <c r="E36" s="5" t="s">
        <v>177</v>
      </c>
    </row>
    <row r="37" spans="1:8" ht="20.100000000000001" customHeight="1" thickBot="1" x14ac:dyDescent="0.3">
      <c r="A37" s="16" t="s">
        <v>188</v>
      </c>
      <c r="B37" s="2" t="s">
        <v>7</v>
      </c>
      <c r="C37">
        <v>55</v>
      </c>
      <c r="D37" s="5">
        <f t="shared" si="0"/>
        <v>1127.5</v>
      </c>
      <c r="E37" s="5" t="s">
        <v>197</v>
      </c>
    </row>
    <row r="38" spans="1:8" ht="20.100000000000001" customHeight="1" thickBot="1" x14ac:dyDescent="0.3">
      <c r="A38" s="16" t="s">
        <v>189</v>
      </c>
      <c r="B38" s="2" t="s">
        <v>7</v>
      </c>
      <c r="C38">
        <v>55</v>
      </c>
      <c r="D38" s="5">
        <f t="shared" si="0"/>
        <v>1127.5</v>
      </c>
      <c r="E38" s="5" t="s">
        <v>197</v>
      </c>
    </row>
    <row r="39" spans="1:8" ht="20.100000000000001" customHeight="1" thickBot="1" x14ac:dyDescent="0.3">
      <c r="A39" s="17" t="s">
        <v>176</v>
      </c>
      <c r="B39" s="3" t="s">
        <v>2</v>
      </c>
      <c r="C39">
        <v>50</v>
      </c>
      <c r="D39" s="5">
        <f t="shared" si="0"/>
        <v>1275</v>
      </c>
      <c r="E39" s="5" t="s">
        <v>177</v>
      </c>
    </row>
    <row r="40" spans="1:8" ht="20.100000000000001" customHeight="1" thickBot="1" x14ac:dyDescent="0.3">
      <c r="A40" s="16" t="s">
        <v>32</v>
      </c>
      <c r="B40" s="2" t="s">
        <v>2</v>
      </c>
      <c r="C40">
        <v>35</v>
      </c>
      <c r="D40" s="5">
        <f t="shared" si="0"/>
        <v>892.5</v>
      </c>
      <c r="E40" s="5" t="s">
        <v>177</v>
      </c>
      <c r="F40" s="5">
        <f>ROUND(3360+2575,-2)</f>
        <v>5900</v>
      </c>
      <c r="G40" s="5">
        <v>2600</v>
      </c>
      <c r="H40" s="5">
        <f>G40/D40</f>
        <v>2.9131652661064424</v>
      </c>
    </row>
    <row r="41" spans="1:8" ht="20.100000000000001" customHeight="1" thickBot="1" x14ac:dyDescent="0.3">
      <c r="A41" s="17" t="s">
        <v>33</v>
      </c>
      <c r="B41" s="3" t="s">
        <v>7</v>
      </c>
      <c r="C41">
        <v>50</v>
      </c>
      <c r="D41" s="5">
        <f t="shared" si="0"/>
        <v>1025</v>
      </c>
      <c r="E41" s="5" t="s">
        <v>185</v>
      </c>
    </row>
    <row r="42" spans="1:8" ht="20.100000000000001" customHeight="1" thickBot="1" x14ac:dyDescent="0.3">
      <c r="A42" s="16" t="s">
        <v>34</v>
      </c>
      <c r="B42" s="2" t="s">
        <v>7</v>
      </c>
      <c r="C42">
        <v>50</v>
      </c>
      <c r="D42" s="5">
        <f t="shared" si="0"/>
        <v>1025</v>
      </c>
      <c r="E42" s="5" t="s">
        <v>177</v>
      </c>
    </row>
    <row r="43" spans="1:8" ht="20.100000000000001" customHeight="1" thickBot="1" x14ac:dyDescent="0.3">
      <c r="A43" s="17" t="s">
        <v>35</v>
      </c>
      <c r="B43" s="3" t="s">
        <v>2</v>
      </c>
      <c r="C43">
        <v>40</v>
      </c>
      <c r="D43" s="5">
        <f t="shared" si="0"/>
        <v>1020</v>
      </c>
      <c r="E43" s="5" t="s">
        <v>184</v>
      </c>
      <c r="F43" s="5">
        <f>ROUND(1804+1597,-2)</f>
        <v>3400</v>
      </c>
      <c r="G43" s="5">
        <v>2200</v>
      </c>
      <c r="H43" s="5">
        <f>G43/D43</f>
        <v>2.1568627450980391</v>
      </c>
    </row>
    <row r="44" spans="1:8" ht="20.100000000000001" customHeight="1" thickBot="1" x14ac:dyDescent="0.3">
      <c r="A44" s="16" t="s">
        <v>36</v>
      </c>
      <c r="B44" s="2" t="s">
        <v>2</v>
      </c>
      <c r="C44">
        <v>45</v>
      </c>
      <c r="D44" s="5">
        <f t="shared" si="0"/>
        <v>1147.5</v>
      </c>
      <c r="E44" s="5" t="s">
        <v>177</v>
      </c>
    </row>
    <row r="45" spans="1:8" ht="20.100000000000001" customHeight="1" thickBot="1" x14ac:dyDescent="0.3">
      <c r="A45" s="17" t="s">
        <v>200</v>
      </c>
      <c r="B45" s="3" t="s">
        <v>7</v>
      </c>
      <c r="C45">
        <v>55</v>
      </c>
      <c r="D45" s="5">
        <f t="shared" si="0"/>
        <v>1127.5</v>
      </c>
      <c r="E45" s="5" t="s">
        <v>213</v>
      </c>
      <c r="F45" s="5">
        <f>ROUND(15020+17911,-2)</f>
        <v>32900</v>
      </c>
      <c r="G45" s="5">
        <v>2500</v>
      </c>
      <c r="H45" s="5">
        <f>G45/D45</f>
        <v>2.2172949002217295</v>
      </c>
    </row>
    <row r="46" spans="1:8" ht="20.100000000000001" customHeight="1" thickBot="1" x14ac:dyDescent="0.3">
      <c r="A46" s="16" t="s">
        <v>37</v>
      </c>
      <c r="B46" s="2" t="s">
        <v>2</v>
      </c>
      <c r="C46">
        <v>35</v>
      </c>
      <c r="D46" s="5">
        <f t="shared" si="0"/>
        <v>892.5</v>
      </c>
      <c r="E46" s="5" t="s">
        <v>179</v>
      </c>
      <c r="F46" s="5">
        <f>ROUND(5191+5009,-2)</f>
        <v>10200</v>
      </c>
      <c r="G46" s="5">
        <v>1000</v>
      </c>
      <c r="H46" s="5">
        <f>G46/D46</f>
        <v>1.1204481792717087</v>
      </c>
    </row>
    <row r="47" spans="1:8" ht="20.100000000000001" customHeight="1" thickBot="1" x14ac:dyDescent="0.3">
      <c r="A47" s="17" t="s">
        <v>38</v>
      </c>
      <c r="B47" s="3" t="s">
        <v>2</v>
      </c>
      <c r="C47">
        <v>50</v>
      </c>
      <c r="D47" s="5">
        <f t="shared" si="0"/>
        <v>1275</v>
      </c>
      <c r="E47" s="5" t="s">
        <v>184</v>
      </c>
      <c r="F47" s="5">
        <f>ROUND(3704+3139,-2)</f>
        <v>6800</v>
      </c>
      <c r="G47" s="5">
        <v>2500</v>
      </c>
      <c r="H47" s="5">
        <f>G47/D47</f>
        <v>1.9607843137254901</v>
      </c>
    </row>
    <row r="48" spans="1:8" ht="20.100000000000001" customHeight="1" thickBot="1" x14ac:dyDescent="0.3">
      <c r="A48" s="16" t="s">
        <v>39</v>
      </c>
      <c r="B48" s="2" t="s">
        <v>2</v>
      </c>
      <c r="C48">
        <v>45</v>
      </c>
      <c r="D48" s="5">
        <f t="shared" si="0"/>
        <v>1147.5</v>
      </c>
      <c r="E48" s="5" t="s">
        <v>184</v>
      </c>
      <c r="F48" s="5">
        <f>ROUND(3456+1529,-2)</f>
        <v>5000</v>
      </c>
      <c r="G48" s="5">
        <v>2400</v>
      </c>
      <c r="H48" s="5">
        <f>G48/D48</f>
        <v>2.0915032679738563</v>
      </c>
    </row>
    <row r="49" spans="1:8" ht="20.100000000000001" customHeight="1" thickBot="1" x14ac:dyDescent="0.3">
      <c r="A49" s="17" t="s">
        <v>40</v>
      </c>
      <c r="B49" s="3" t="s">
        <v>2</v>
      </c>
      <c r="C49">
        <v>45</v>
      </c>
      <c r="D49" s="5">
        <f t="shared" si="0"/>
        <v>1147.5</v>
      </c>
      <c r="E49" s="5" t="s">
        <v>185</v>
      </c>
    </row>
    <row r="50" spans="1:8" ht="20.100000000000001" customHeight="1" thickBot="1" x14ac:dyDescent="0.3">
      <c r="A50" s="16" t="s">
        <v>41</v>
      </c>
      <c r="B50" s="2" t="s">
        <v>2</v>
      </c>
      <c r="C50">
        <v>50</v>
      </c>
      <c r="D50" s="5">
        <f t="shared" si="0"/>
        <v>1275</v>
      </c>
      <c r="E50" s="5" t="s">
        <v>177</v>
      </c>
    </row>
    <row r="51" spans="1:8" ht="20.100000000000001" customHeight="1" thickBot="1" x14ac:dyDescent="0.3">
      <c r="A51" s="17" t="s">
        <v>42</v>
      </c>
      <c r="B51" s="3" t="s">
        <v>2</v>
      </c>
      <c r="C51">
        <v>45</v>
      </c>
      <c r="D51" s="5">
        <f t="shared" si="0"/>
        <v>1147.5</v>
      </c>
      <c r="E51" s="5" t="s">
        <v>177</v>
      </c>
    </row>
    <row r="52" spans="1:8" ht="20.100000000000001" customHeight="1" thickBot="1" x14ac:dyDescent="0.3">
      <c r="A52" s="16" t="s">
        <v>43</v>
      </c>
      <c r="B52" s="2" t="s">
        <v>2</v>
      </c>
      <c r="C52">
        <v>50</v>
      </c>
      <c r="D52" s="5">
        <f t="shared" si="0"/>
        <v>1275</v>
      </c>
      <c r="E52" s="5" t="s">
        <v>177</v>
      </c>
    </row>
    <row r="53" spans="1:8" ht="20.100000000000001" customHeight="1" thickBot="1" x14ac:dyDescent="0.3">
      <c r="A53" s="17" t="s">
        <v>44</v>
      </c>
      <c r="B53" s="3" t="s">
        <v>2</v>
      </c>
      <c r="C53">
        <v>40</v>
      </c>
      <c r="D53" s="5">
        <f t="shared" si="0"/>
        <v>1020</v>
      </c>
      <c r="E53" s="5" t="s">
        <v>184</v>
      </c>
    </row>
    <row r="54" spans="1:8" ht="20.100000000000001" customHeight="1" thickBot="1" x14ac:dyDescent="0.3">
      <c r="A54" s="16" t="s">
        <v>190</v>
      </c>
      <c r="B54" s="2" t="s">
        <v>7</v>
      </c>
      <c r="C54">
        <v>55</v>
      </c>
      <c r="D54" s="5">
        <f t="shared" si="0"/>
        <v>1127.5</v>
      </c>
      <c r="E54" s="5" t="s">
        <v>197</v>
      </c>
    </row>
    <row r="55" spans="1:8" ht="20.100000000000001" customHeight="1" thickBot="1" x14ac:dyDescent="0.3">
      <c r="A55" s="16" t="s">
        <v>45</v>
      </c>
      <c r="B55" s="2" t="s">
        <v>2</v>
      </c>
      <c r="C55">
        <v>35</v>
      </c>
      <c r="D55" s="5">
        <f t="shared" si="0"/>
        <v>892.5</v>
      </c>
      <c r="E55" s="5" t="s">
        <v>179</v>
      </c>
    </row>
    <row r="56" spans="1:8" ht="20.100000000000001" customHeight="1" thickBot="1" x14ac:dyDescent="0.3">
      <c r="A56" s="17" t="s">
        <v>46</v>
      </c>
      <c r="B56" s="3" t="s">
        <v>7</v>
      </c>
      <c r="C56">
        <v>45</v>
      </c>
      <c r="D56" s="5">
        <f t="shared" si="0"/>
        <v>922.5</v>
      </c>
      <c r="E56" s="5" t="s">
        <v>197</v>
      </c>
    </row>
    <row r="57" spans="1:8" ht="20.100000000000001" customHeight="1" thickBot="1" x14ac:dyDescent="0.3">
      <c r="A57" s="16" t="s">
        <v>49</v>
      </c>
      <c r="B57" s="2" t="s">
        <v>7</v>
      </c>
      <c r="C57">
        <v>50</v>
      </c>
      <c r="D57" s="5">
        <f t="shared" si="0"/>
        <v>1025</v>
      </c>
      <c r="E57" s="5" t="s">
        <v>185</v>
      </c>
    </row>
    <row r="58" spans="1:8" ht="20.100000000000001" customHeight="1" thickBot="1" x14ac:dyDescent="0.3">
      <c r="A58" s="16" t="s">
        <v>47</v>
      </c>
      <c r="B58" s="2" t="s">
        <v>2</v>
      </c>
      <c r="C58">
        <v>45</v>
      </c>
      <c r="D58" s="5">
        <f t="shared" si="0"/>
        <v>1147.5</v>
      </c>
      <c r="E58" s="5" t="s">
        <v>177</v>
      </c>
    </row>
    <row r="59" spans="1:8" ht="20.100000000000001" customHeight="1" thickBot="1" x14ac:dyDescent="0.3">
      <c r="A59" s="17" t="s">
        <v>48</v>
      </c>
      <c r="B59" s="3" t="s">
        <v>2</v>
      </c>
      <c r="C59">
        <v>45</v>
      </c>
      <c r="D59" s="5">
        <f t="shared" si="0"/>
        <v>1147.5</v>
      </c>
      <c r="E59" s="5" t="s">
        <v>177</v>
      </c>
    </row>
    <row r="60" spans="1:8" ht="20.100000000000001" customHeight="1" thickBot="1" x14ac:dyDescent="0.3">
      <c r="A60" s="16" t="s">
        <v>191</v>
      </c>
      <c r="B60" s="2" t="s">
        <v>7</v>
      </c>
      <c r="C60">
        <v>55</v>
      </c>
      <c r="D60" s="5">
        <f t="shared" si="0"/>
        <v>1127.5</v>
      </c>
      <c r="E60" s="5" t="s">
        <v>197</v>
      </c>
    </row>
    <row r="61" spans="1:8" ht="20.100000000000001" customHeight="1" thickBot="1" x14ac:dyDescent="0.3">
      <c r="A61" s="16" t="s">
        <v>50</v>
      </c>
      <c r="B61" s="2" t="s">
        <v>7</v>
      </c>
      <c r="C61">
        <v>45</v>
      </c>
      <c r="D61" s="5">
        <f t="shared" si="0"/>
        <v>922.5</v>
      </c>
      <c r="E61" s="5" t="s">
        <v>197</v>
      </c>
    </row>
    <row r="62" spans="1:8" ht="20.100000000000001" customHeight="1" thickBot="1" x14ac:dyDescent="0.3">
      <c r="A62" s="17" t="s">
        <v>51</v>
      </c>
      <c r="B62" s="3" t="s">
        <v>2</v>
      </c>
      <c r="C62">
        <v>45</v>
      </c>
      <c r="D62" s="5">
        <f t="shared" si="0"/>
        <v>1147.5</v>
      </c>
      <c r="E62" s="5" t="s">
        <v>179</v>
      </c>
      <c r="F62" s="5">
        <f>ROUND(5645+5984,-2)</f>
        <v>11600</v>
      </c>
      <c r="G62" s="5">
        <v>1200</v>
      </c>
      <c r="H62" s="5">
        <f>G62/D62</f>
        <v>1.0457516339869282</v>
      </c>
    </row>
    <row r="63" spans="1:8" ht="20.100000000000001" customHeight="1" thickBot="1" x14ac:dyDescent="0.3">
      <c r="A63" s="16" t="s">
        <v>52</v>
      </c>
      <c r="B63" s="2" t="s">
        <v>7</v>
      </c>
      <c r="C63">
        <v>50</v>
      </c>
      <c r="D63" s="5">
        <f t="shared" si="0"/>
        <v>1025</v>
      </c>
      <c r="E63" s="5" t="s">
        <v>185</v>
      </c>
      <c r="F63" s="5">
        <f>ROUND(9899+13580,-2)</f>
        <v>23500</v>
      </c>
      <c r="G63" s="5">
        <v>3000</v>
      </c>
      <c r="H63" s="5">
        <f>G63/D63</f>
        <v>2.9268292682926829</v>
      </c>
    </row>
    <row r="64" spans="1:8" ht="20.100000000000001" customHeight="1" thickBot="1" x14ac:dyDescent="0.3">
      <c r="A64" s="17" t="s">
        <v>53</v>
      </c>
      <c r="B64" s="3" t="s">
        <v>2</v>
      </c>
      <c r="C64">
        <v>35</v>
      </c>
      <c r="D64" s="5">
        <f t="shared" si="0"/>
        <v>892.5</v>
      </c>
      <c r="E64" s="5" t="s">
        <v>184</v>
      </c>
      <c r="F64" s="5">
        <f>ROUND(2148+2245,-2)</f>
        <v>4400</v>
      </c>
      <c r="G64" s="5">
        <v>2600</v>
      </c>
      <c r="H64" s="5">
        <f>G64/D64</f>
        <v>2.9131652661064424</v>
      </c>
    </row>
    <row r="65" spans="1:8" ht="20.100000000000001" customHeight="1" thickBot="1" x14ac:dyDescent="0.3">
      <c r="A65" s="16" t="s">
        <v>54</v>
      </c>
      <c r="B65" s="2" t="s">
        <v>2</v>
      </c>
      <c r="C65">
        <v>45</v>
      </c>
      <c r="D65" s="5">
        <f t="shared" si="0"/>
        <v>1147.5</v>
      </c>
      <c r="E65" s="5" t="s">
        <v>179</v>
      </c>
      <c r="F65" s="5">
        <f>ROUND(4378+4048,-2)</f>
        <v>8400</v>
      </c>
      <c r="G65" s="5">
        <v>2000</v>
      </c>
      <c r="H65" s="5">
        <f>G65/D65</f>
        <v>1.7429193899782136</v>
      </c>
    </row>
    <row r="66" spans="1:8" ht="20.100000000000001" customHeight="1" thickBot="1" x14ac:dyDescent="0.3">
      <c r="A66" s="17" t="s">
        <v>55</v>
      </c>
      <c r="B66" s="3" t="s">
        <v>2</v>
      </c>
      <c r="C66">
        <v>35</v>
      </c>
      <c r="D66" s="5">
        <f t="shared" ref="D66:D129" si="4">C66*VLOOKUP($B66,$J$2:$K$4,2)</f>
        <v>892.5</v>
      </c>
      <c r="E66" s="5" t="s">
        <v>179</v>
      </c>
    </row>
    <row r="67" spans="1:8" ht="20.100000000000001" customHeight="1" thickBot="1" x14ac:dyDescent="0.3">
      <c r="A67" s="16" t="s">
        <v>56</v>
      </c>
      <c r="B67" s="2" t="s">
        <v>2</v>
      </c>
      <c r="C67">
        <v>40</v>
      </c>
      <c r="D67" s="5">
        <f t="shared" si="4"/>
        <v>1020</v>
      </c>
      <c r="E67" s="5" t="s">
        <v>179</v>
      </c>
    </row>
    <row r="68" spans="1:8" ht="20.100000000000001" customHeight="1" thickBot="1" x14ac:dyDescent="0.3">
      <c r="A68" s="17" t="s">
        <v>57</v>
      </c>
      <c r="B68" s="3" t="s">
        <v>2</v>
      </c>
      <c r="C68">
        <v>40</v>
      </c>
      <c r="D68" s="5">
        <f t="shared" si="4"/>
        <v>1020</v>
      </c>
      <c r="E68" s="5" t="s">
        <v>179</v>
      </c>
    </row>
    <row r="69" spans="1:8" ht="20.100000000000001" customHeight="1" thickBot="1" x14ac:dyDescent="0.3">
      <c r="A69" s="16" t="s">
        <v>58</v>
      </c>
      <c r="B69" s="2" t="s">
        <v>2</v>
      </c>
      <c r="C69">
        <v>45</v>
      </c>
      <c r="D69" s="5">
        <f t="shared" si="4"/>
        <v>1147.5</v>
      </c>
      <c r="E69" s="5" t="s">
        <v>184</v>
      </c>
      <c r="F69" s="5">
        <f>ROUND(1129+1322,-2)</f>
        <v>2500</v>
      </c>
      <c r="G69" s="5">
        <v>3300</v>
      </c>
      <c r="H69" s="5">
        <f>G69/D69</f>
        <v>2.8758169934640523</v>
      </c>
    </row>
    <row r="70" spans="1:8" ht="20.100000000000001" customHeight="1" thickBot="1" x14ac:dyDescent="0.3">
      <c r="A70" s="17" t="s">
        <v>59</v>
      </c>
      <c r="B70" s="3" t="s">
        <v>2</v>
      </c>
      <c r="C70">
        <v>55</v>
      </c>
      <c r="D70" s="5">
        <f t="shared" si="4"/>
        <v>1402.5</v>
      </c>
      <c r="E70" s="5" t="s">
        <v>184</v>
      </c>
      <c r="F70" s="5">
        <f>ROUND(4337+2052,-2)</f>
        <v>6400</v>
      </c>
      <c r="G70" s="5">
        <v>3200</v>
      </c>
      <c r="H70" s="5">
        <f>G70/D70</f>
        <v>2.2816399286987523</v>
      </c>
    </row>
    <row r="71" spans="1:8" ht="20.100000000000001" customHeight="1" thickBot="1" x14ac:dyDescent="0.3">
      <c r="A71" s="16" t="s">
        <v>180</v>
      </c>
      <c r="B71" s="2" t="s">
        <v>2</v>
      </c>
      <c r="C71">
        <v>45</v>
      </c>
      <c r="D71" s="5">
        <f t="shared" si="4"/>
        <v>1147.5</v>
      </c>
      <c r="E71" s="5" t="s">
        <v>184</v>
      </c>
      <c r="F71" s="5">
        <f>ROUND(1500+1170,-2)</f>
        <v>2700</v>
      </c>
      <c r="G71" s="5">
        <v>2400</v>
      </c>
      <c r="H71" s="5">
        <f>G71/D71</f>
        <v>2.0915032679738563</v>
      </c>
    </row>
    <row r="72" spans="1:8" ht="20.100000000000001" customHeight="1" thickBot="1" x14ac:dyDescent="0.3">
      <c r="A72" s="17" t="s">
        <v>60</v>
      </c>
      <c r="B72" s="3" t="s">
        <v>7</v>
      </c>
      <c r="C72">
        <v>55</v>
      </c>
      <c r="D72" s="5">
        <f t="shared" si="4"/>
        <v>1127.5</v>
      </c>
      <c r="E72" s="5" t="s">
        <v>179</v>
      </c>
      <c r="F72" s="5">
        <f>ROUND(1666+1785,-2)</f>
        <v>3500</v>
      </c>
      <c r="G72" s="5">
        <v>2700</v>
      </c>
      <c r="H72" s="5">
        <f>G72/D72</f>
        <v>2.3946784922394677</v>
      </c>
    </row>
    <row r="73" spans="1:8" ht="20.100000000000001" customHeight="1" thickBot="1" x14ac:dyDescent="0.3">
      <c r="A73" s="16" t="s">
        <v>192</v>
      </c>
      <c r="B73" s="2" t="s">
        <v>7</v>
      </c>
      <c r="C73">
        <v>55</v>
      </c>
      <c r="D73" s="5">
        <f t="shared" si="4"/>
        <v>1127.5</v>
      </c>
      <c r="E73" s="5" t="s">
        <v>197</v>
      </c>
    </row>
    <row r="74" spans="1:8" ht="20.100000000000001" customHeight="1" thickBot="1" x14ac:dyDescent="0.3">
      <c r="A74" s="16" t="s">
        <v>61</v>
      </c>
      <c r="B74" s="2" t="s">
        <v>7</v>
      </c>
      <c r="C74">
        <v>65</v>
      </c>
      <c r="D74" s="5">
        <f t="shared" si="4"/>
        <v>1332.5</v>
      </c>
      <c r="E74" s="5" t="s">
        <v>179</v>
      </c>
      <c r="F74" s="5">
        <f>ROUND(11840+9417,-2)</f>
        <v>21300</v>
      </c>
      <c r="G74" s="5">
        <v>1600</v>
      </c>
      <c r="H74" s="5">
        <f>G74/D74</f>
        <v>1.2007504690431521</v>
      </c>
    </row>
    <row r="75" spans="1:8" ht="20.100000000000001" customHeight="1" thickBot="1" x14ac:dyDescent="0.3">
      <c r="A75" s="17" t="s">
        <v>62</v>
      </c>
      <c r="B75" s="3" t="s">
        <v>2</v>
      </c>
      <c r="C75">
        <v>35</v>
      </c>
      <c r="D75" s="5">
        <f t="shared" si="4"/>
        <v>892.5</v>
      </c>
      <c r="E75" s="5" t="s">
        <v>179</v>
      </c>
    </row>
    <row r="76" spans="1:8" ht="20.100000000000001" customHeight="1" thickBot="1" x14ac:dyDescent="0.3">
      <c r="A76" s="16" t="s">
        <v>63</v>
      </c>
      <c r="B76" s="2" t="s">
        <v>2</v>
      </c>
      <c r="C76">
        <v>40</v>
      </c>
      <c r="D76" s="5">
        <f t="shared" si="4"/>
        <v>1020</v>
      </c>
      <c r="E76" s="5" t="s">
        <v>177</v>
      </c>
      <c r="F76" s="5">
        <f>ROUND(6264+6168,-2)</f>
        <v>12400</v>
      </c>
      <c r="G76" s="5">
        <v>2150</v>
      </c>
      <c r="H76" s="5">
        <f>G76/D76</f>
        <v>2.107843137254902</v>
      </c>
    </row>
    <row r="77" spans="1:8" ht="20.100000000000001" customHeight="1" thickBot="1" x14ac:dyDescent="0.3">
      <c r="A77" s="17" t="s">
        <v>64</v>
      </c>
      <c r="B77" s="3" t="s">
        <v>7</v>
      </c>
      <c r="C77">
        <v>55</v>
      </c>
      <c r="D77" s="5">
        <f t="shared" si="4"/>
        <v>1127.5</v>
      </c>
      <c r="E77" s="5" t="s">
        <v>177</v>
      </c>
    </row>
    <row r="78" spans="1:8" ht="20.100000000000001" customHeight="1" thickBot="1" x14ac:dyDescent="0.3">
      <c r="A78" s="16" t="s">
        <v>65</v>
      </c>
      <c r="B78" s="2" t="s">
        <v>2</v>
      </c>
      <c r="C78">
        <v>40</v>
      </c>
      <c r="D78" s="5">
        <f t="shared" si="4"/>
        <v>1020</v>
      </c>
      <c r="E78" s="5" t="s">
        <v>179</v>
      </c>
    </row>
    <row r="79" spans="1:8" ht="20.100000000000001" customHeight="1" thickBot="1" x14ac:dyDescent="0.3">
      <c r="A79" s="16" t="s">
        <v>66</v>
      </c>
      <c r="B79" s="2" t="s">
        <v>7</v>
      </c>
      <c r="C79">
        <v>45</v>
      </c>
      <c r="D79" s="5">
        <f t="shared" si="4"/>
        <v>922.5</v>
      </c>
      <c r="E79" s="5" t="s">
        <v>179</v>
      </c>
    </row>
    <row r="80" spans="1:8" ht="20.100000000000001" customHeight="1" thickBot="1" x14ac:dyDescent="0.3">
      <c r="A80" s="17" t="s">
        <v>67</v>
      </c>
      <c r="B80" s="3" t="s">
        <v>2</v>
      </c>
      <c r="C80">
        <v>45</v>
      </c>
      <c r="D80" s="5">
        <f t="shared" si="4"/>
        <v>1147.5</v>
      </c>
      <c r="E80" s="5" t="s">
        <v>177</v>
      </c>
    </row>
    <row r="81" spans="1:8" ht="20.100000000000001" customHeight="1" thickBot="1" x14ac:dyDescent="0.3">
      <c r="A81" s="16" t="s">
        <v>68</v>
      </c>
      <c r="B81" s="2" t="s">
        <v>7</v>
      </c>
      <c r="C81">
        <v>50</v>
      </c>
      <c r="D81" s="5">
        <f t="shared" si="4"/>
        <v>1025</v>
      </c>
      <c r="E81" s="5" t="s">
        <v>197</v>
      </c>
      <c r="F81" s="5">
        <f>ROUND(7104+6300,-2)</f>
        <v>13400</v>
      </c>
      <c r="G81" s="5">
        <v>3000</v>
      </c>
      <c r="H81" s="5">
        <f>G81/D81</f>
        <v>2.9268292682926829</v>
      </c>
    </row>
    <row r="82" spans="1:8" ht="20.100000000000001" customHeight="1" thickBot="1" x14ac:dyDescent="0.3">
      <c r="A82" s="17" t="s">
        <v>69</v>
      </c>
      <c r="B82" s="3" t="s">
        <v>2</v>
      </c>
      <c r="C82">
        <v>40</v>
      </c>
      <c r="D82" s="5">
        <f t="shared" si="4"/>
        <v>1020</v>
      </c>
      <c r="E82" s="5" t="s">
        <v>177</v>
      </c>
    </row>
    <row r="83" spans="1:8" ht="20.100000000000001" customHeight="1" thickBot="1" x14ac:dyDescent="0.3">
      <c r="A83" s="17" t="s">
        <v>70</v>
      </c>
      <c r="B83" s="3" t="s">
        <v>7</v>
      </c>
      <c r="C83">
        <v>50</v>
      </c>
      <c r="D83" s="5">
        <f t="shared" si="4"/>
        <v>1025</v>
      </c>
      <c r="E83" s="5" t="s">
        <v>179</v>
      </c>
    </row>
    <row r="84" spans="1:8" ht="20.100000000000001" customHeight="1" thickBot="1" x14ac:dyDescent="0.3">
      <c r="A84" s="16" t="s">
        <v>71</v>
      </c>
      <c r="B84" s="2" t="s">
        <v>2</v>
      </c>
      <c r="C84">
        <v>45</v>
      </c>
      <c r="D84" s="5">
        <f t="shared" si="4"/>
        <v>1147.5</v>
      </c>
      <c r="E84" s="5" t="s">
        <v>179</v>
      </c>
    </row>
    <row r="85" spans="1:8" ht="20.100000000000001" customHeight="1" thickBot="1" x14ac:dyDescent="0.3">
      <c r="A85" s="17" t="s">
        <v>72</v>
      </c>
      <c r="B85" s="3" t="s">
        <v>2</v>
      </c>
      <c r="C85">
        <v>45</v>
      </c>
      <c r="D85" s="5">
        <f t="shared" si="4"/>
        <v>1147.5</v>
      </c>
      <c r="E85" s="5" t="s">
        <v>177</v>
      </c>
    </row>
    <row r="86" spans="1:8" ht="20.100000000000001" customHeight="1" thickBot="1" x14ac:dyDescent="0.3">
      <c r="A86" s="17" t="s">
        <v>201</v>
      </c>
      <c r="B86" s="3" t="s">
        <v>7</v>
      </c>
      <c r="C86">
        <v>55</v>
      </c>
      <c r="D86" s="5">
        <f t="shared" si="4"/>
        <v>1127.5</v>
      </c>
      <c r="E86" s="5" t="s">
        <v>213</v>
      </c>
    </row>
    <row r="87" spans="1:8" ht="20.100000000000001" customHeight="1" thickBot="1" x14ac:dyDescent="0.3">
      <c r="A87" s="16" t="s">
        <v>73</v>
      </c>
      <c r="B87" s="2" t="s">
        <v>7</v>
      </c>
      <c r="C87">
        <v>45</v>
      </c>
      <c r="D87" s="5">
        <f t="shared" si="4"/>
        <v>922.5</v>
      </c>
      <c r="E87" s="5" t="s">
        <v>185</v>
      </c>
      <c r="F87" s="5">
        <f>ROUND(6868+5990,-2)</f>
        <v>12900</v>
      </c>
      <c r="G87" s="5">
        <v>2900</v>
      </c>
      <c r="H87" s="5">
        <f>G87/D87</f>
        <v>3.1436314363143629</v>
      </c>
    </row>
    <row r="88" spans="1:8" ht="20.100000000000001" customHeight="1" thickBot="1" x14ac:dyDescent="0.3">
      <c r="A88" s="17" t="s">
        <v>74</v>
      </c>
      <c r="B88" s="3" t="s">
        <v>7</v>
      </c>
      <c r="C88">
        <v>55</v>
      </c>
      <c r="D88" s="5">
        <f t="shared" si="4"/>
        <v>1127.5</v>
      </c>
      <c r="E88" s="5" t="s">
        <v>177</v>
      </c>
    </row>
    <row r="89" spans="1:8" ht="20.100000000000001" customHeight="1" thickBot="1" x14ac:dyDescent="0.3">
      <c r="A89" s="16" t="s">
        <v>75</v>
      </c>
      <c r="B89" s="2" t="s">
        <v>7</v>
      </c>
      <c r="C89">
        <v>60</v>
      </c>
      <c r="D89" s="5">
        <f t="shared" si="4"/>
        <v>1230</v>
      </c>
      <c r="E89" s="5" t="s">
        <v>177</v>
      </c>
    </row>
    <row r="90" spans="1:8" ht="20.100000000000001" customHeight="1" thickBot="1" x14ac:dyDescent="0.3">
      <c r="A90" s="16" t="s">
        <v>76</v>
      </c>
      <c r="B90" s="2" t="s">
        <v>2</v>
      </c>
      <c r="C90">
        <v>40</v>
      </c>
      <c r="D90" s="5">
        <f t="shared" si="4"/>
        <v>1020</v>
      </c>
      <c r="E90" s="5" t="s">
        <v>179</v>
      </c>
    </row>
    <row r="91" spans="1:8" ht="20.100000000000001" customHeight="1" thickBot="1" x14ac:dyDescent="0.3">
      <c r="A91" s="17" t="s">
        <v>77</v>
      </c>
      <c r="B91" s="3" t="s">
        <v>2</v>
      </c>
      <c r="C91">
        <v>50</v>
      </c>
      <c r="D91" s="5">
        <f t="shared" si="4"/>
        <v>1275</v>
      </c>
      <c r="E91" s="5" t="s">
        <v>179</v>
      </c>
      <c r="F91" s="5">
        <f>ROUND(7884+12088,-2)</f>
        <v>20000</v>
      </c>
      <c r="G91" s="5">
        <v>1900</v>
      </c>
      <c r="H91" s="5">
        <f>G91/D91</f>
        <v>1.4901960784313726</v>
      </c>
    </row>
    <row r="92" spans="1:8" ht="20.100000000000001" customHeight="1" thickBot="1" x14ac:dyDescent="0.3">
      <c r="A92" s="16" t="s">
        <v>78</v>
      </c>
      <c r="B92" s="2" t="s">
        <v>2</v>
      </c>
      <c r="C92">
        <v>45</v>
      </c>
      <c r="D92" s="5">
        <f t="shared" si="4"/>
        <v>1147.5</v>
      </c>
      <c r="E92" s="5" t="s">
        <v>184</v>
      </c>
    </row>
    <row r="93" spans="1:8" ht="20.100000000000001" customHeight="1" thickBot="1" x14ac:dyDescent="0.3">
      <c r="A93" s="17" t="s">
        <v>79</v>
      </c>
      <c r="B93" s="3" t="s">
        <v>7</v>
      </c>
      <c r="C93">
        <v>50</v>
      </c>
      <c r="D93" s="5">
        <f t="shared" si="4"/>
        <v>1025</v>
      </c>
      <c r="E93" s="5" t="s">
        <v>197</v>
      </c>
      <c r="F93" s="5">
        <f>ROUND(7060+15500,-2)</f>
        <v>22600</v>
      </c>
      <c r="G93" s="5">
        <v>1700</v>
      </c>
      <c r="H93" s="5">
        <f>G93/D93</f>
        <v>1.6585365853658536</v>
      </c>
    </row>
    <row r="94" spans="1:8" ht="20.100000000000001" customHeight="1" thickBot="1" x14ac:dyDescent="0.3">
      <c r="A94" s="16" t="s">
        <v>80</v>
      </c>
      <c r="B94" s="2" t="s">
        <v>2</v>
      </c>
      <c r="C94">
        <v>45</v>
      </c>
      <c r="D94" s="5">
        <f t="shared" si="4"/>
        <v>1147.5</v>
      </c>
      <c r="E94" s="5" t="s">
        <v>197</v>
      </c>
    </row>
    <row r="95" spans="1:8" ht="20.100000000000001" customHeight="1" thickBot="1" x14ac:dyDescent="0.3">
      <c r="A95" s="17" t="s">
        <v>81</v>
      </c>
      <c r="B95" s="3" t="s">
        <v>2</v>
      </c>
      <c r="C95">
        <v>40</v>
      </c>
      <c r="D95" s="5">
        <f t="shared" si="4"/>
        <v>1020</v>
      </c>
      <c r="E95" s="5" t="s">
        <v>179</v>
      </c>
    </row>
    <row r="96" spans="1:8" ht="20.100000000000001" customHeight="1" thickBot="1" x14ac:dyDescent="0.3">
      <c r="A96" s="16" t="s">
        <v>82</v>
      </c>
      <c r="B96" s="2" t="s">
        <v>2</v>
      </c>
      <c r="C96">
        <v>40</v>
      </c>
      <c r="D96" s="5">
        <f t="shared" si="4"/>
        <v>1020</v>
      </c>
      <c r="E96" s="5" t="s">
        <v>179</v>
      </c>
    </row>
    <row r="97" spans="1:8" ht="20.100000000000001" customHeight="1" thickBot="1" x14ac:dyDescent="0.3">
      <c r="A97" s="17" t="s">
        <v>83</v>
      </c>
      <c r="B97" s="3" t="s">
        <v>2</v>
      </c>
      <c r="C97">
        <v>40</v>
      </c>
      <c r="D97" s="5">
        <f t="shared" si="4"/>
        <v>1020</v>
      </c>
      <c r="E97" s="5" t="s">
        <v>179</v>
      </c>
    </row>
    <row r="98" spans="1:8" ht="20.100000000000001" customHeight="1" thickBot="1" x14ac:dyDescent="0.3">
      <c r="A98" s="16" t="s">
        <v>84</v>
      </c>
      <c r="B98" s="2" t="s">
        <v>7</v>
      </c>
      <c r="C98">
        <v>45</v>
      </c>
      <c r="D98" s="5">
        <f t="shared" si="4"/>
        <v>922.5</v>
      </c>
      <c r="E98" s="5" t="s">
        <v>179</v>
      </c>
    </row>
    <row r="99" spans="1:8" ht="20.100000000000001" customHeight="1" thickBot="1" x14ac:dyDescent="0.3">
      <c r="A99" s="17" t="s">
        <v>85</v>
      </c>
      <c r="B99" s="3" t="s">
        <v>7</v>
      </c>
      <c r="C99">
        <v>50</v>
      </c>
      <c r="D99" s="5">
        <f t="shared" si="4"/>
        <v>1025</v>
      </c>
      <c r="E99" s="5" t="s">
        <v>177</v>
      </c>
    </row>
    <row r="100" spans="1:8" ht="20.100000000000001" customHeight="1" thickBot="1" x14ac:dyDescent="0.3">
      <c r="A100" s="16" t="s">
        <v>86</v>
      </c>
      <c r="B100" s="2" t="s">
        <v>7</v>
      </c>
      <c r="C100">
        <v>55</v>
      </c>
      <c r="D100" s="5">
        <f t="shared" si="4"/>
        <v>1127.5</v>
      </c>
      <c r="E100" s="5" t="s">
        <v>179</v>
      </c>
    </row>
    <row r="101" spans="1:8" ht="20.100000000000001" customHeight="1" thickBot="1" x14ac:dyDescent="0.3">
      <c r="A101" s="17" t="s">
        <v>87</v>
      </c>
      <c r="B101" s="3" t="s">
        <v>2</v>
      </c>
      <c r="C101">
        <v>45</v>
      </c>
      <c r="D101" s="5">
        <f t="shared" si="4"/>
        <v>1147.5</v>
      </c>
      <c r="E101" s="5" t="s">
        <v>177</v>
      </c>
    </row>
    <row r="102" spans="1:8" ht="20.100000000000001" customHeight="1" thickBot="1" x14ac:dyDescent="0.3">
      <c r="A102" s="16" t="s">
        <v>88</v>
      </c>
      <c r="B102" s="2" t="s">
        <v>2</v>
      </c>
      <c r="C102">
        <v>45</v>
      </c>
      <c r="D102" s="5">
        <f t="shared" si="4"/>
        <v>1147.5</v>
      </c>
      <c r="E102" s="5" t="s">
        <v>177</v>
      </c>
    </row>
    <row r="103" spans="1:8" ht="20.100000000000001" customHeight="1" thickBot="1" x14ac:dyDescent="0.3">
      <c r="A103" s="17" t="s">
        <v>89</v>
      </c>
      <c r="B103" s="3" t="s">
        <v>90</v>
      </c>
      <c r="C103">
        <v>60</v>
      </c>
      <c r="D103" s="5">
        <f t="shared" si="4"/>
        <v>1530</v>
      </c>
      <c r="E103" s="5" t="s">
        <v>184</v>
      </c>
    </row>
    <row r="104" spans="1:8" ht="20.100000000000001" customHeight="1" thickBot="1" x14ac:dyDescent="0.3">
      <c r="A104" s="16" t="s">
        <v>91</v>
      </c>
      <c r="B104" s="2" t="s">
        <v>2</v>
      </c>
      <c r="C104">
        <v>40</v>
      </c>
      <c r="D104" s="5">
        <f t="shared" si="4"/>
        <v>1020</v>
      </c>
      <c r="E104" s="5" t="s">
        <v>184</v>
      </c>
      <c r="F104" s="5">
        <f>ROUND(3208+2589,-2)</f>
        <v>5800</v>
      </c>
      <c r="G104" s="5">
        <v>1500</v>
      </c>
      <c r="H104" s="5">
        <f>G104/D104</f>
        <v>1.4705882352941178</v>
      </c>
    </row>
    <row r="105" spans="1:8" ht="20.100000000000001" customHeight="1" thickBot="1" x14ac:dyDescent="0.3">
      <c r="A105" s="17" t="s">
        <v>92</v>
      </c>
      <c r="B105" s="3" t="s">
        <v>2</v>
      </c>
      <c r="C105">
        <v>40</v>
      </c>
      <c r="D105" s="5">
        <f t="shared" si="4"/>
        <v>1020</v>
      </c>
      <c r="E105" s="5" t="s">
        <v>184</v>
      </c>
      <c r="F105" s="5">
        <f>ROUND(2313+1350,-2)</f>
        <v>3700</v>
      </c>
      <c r="G105" s="5">
        <v>2300</v>
      </c>
      <c r="H105" s="5">
        <f>G105/D105</f>
        <v>2.2549019607843137</v>
      </c>
    </row>
    <row r="106" spans="1:8" ht="20.100000000000001" customHeight="1" thickBot="1" x14ac:dyDescent="0.3">
      <c r="A106" s="16" t="s">
        <v>93</v>
      </c>
      <c r="B106" s="2" t="s">
        <v>2</v>
      </c>
      <c r="C106">
        <v>45</v>
      </c>
      <c r="D106" s="5">
        <f t="shared" si="4"/>
        <v>1147.5</v>
      </c>
      <c r="E106" s="5" t="s">
        <v>184</v>
      </c>
      <c r="F106" s="5">
        <f>ROUND(3360+1474,-2)</f>
        <v>4800</v>
      </c>
      <c r="G106" s="5">
        <v>3300</v>
      </c>
      <c r="H106" s="5">
        <f>G106/D106</f>
        <v>2.8758169934640523</v>
      </c>
    </row>
    <row r="107" spans="1:8" ht="20.100000000000001" customHeight="1" thickBot="1" x14ac:dyDescent="0.3">
      <c r="A107" s="16" t="s">
        <v>94</v>
      </c>
      <c r="B107" s="2" t="s">
        <v>2</v>
      </c>
      <c r="C107">
        <v>45</v>
      </c>
      <c r="D107" s="5">
        <f t="shared" si="4"/>
        <v>1147.5</v>
      </c>
      <c r="E107" s="5" t="s">
        <v>179</v>
      </c>
    </row>
    <row r="108" spans="1:8" ht="20.100000000000001" customHeight="1" thickBot="1" x14ac:dyDescent="0.3">
      <c r="A108" s="17" t="s">
        <v>95</v>
      </c>
      <c r="B108" s="3" t="s">
        <v>2</v>
      </c>
      <c r="C108">
        <v>40</v>
      </c>
      <c r="D108" s="5">
        <f t="shared" si="4"/>
        <v>1020</v>
      </c>
      <c r="E108" s="5" t="s">
        <v>177</v>
      </c>
    </row>
    <row r="109" spans="1:8" ht="20.100000000000001" customHeight="1" thickBot="1" x14ac:dyDescent="0.3">
      <c r="A109" s="16" t="s">
        <v>96</v>
      </c>
      <c r="B109" s="2" t="s">
        <v>2</v>
      </c>
      <c r="C109">
        <v>35</v>
      </c>
      <c r="D109" s="5">
        <f t="shared" si="4"/>
        <v>892.5</v>
      </c>
      <c r="E109" s="5" t="s">
        <v>184</v>
      </c>
      <c r="F109" s="5">
        <f>ROUND(1281+1322,-2)</f>
        <v>2600</v>
      </c>
      <c r="G109" s="5">
        <v>2000</v>
      </c>
      <c r="H109" s="5">
        <f>G109/D109</f>
        <v>2.2408963585434174</v>
      </c>
    </row>
    <row r="110" spans="1:8" ht="20.100000000000001" customHeight="1" thickBot="1" x14ac:dyDescent="0.3">
      <c r="A110" s="17" t="s">
        <v>97</v>
      </c>
      <c r="B110" s="3" t="s">
        <v>2</v>
      </c>
      <c r="C110">
        <v>35</v>
      </c>
      <c r="D110" s="5">
        <f t="shared" si="4"/>
        <v>892.5</v>
      </c>
      <c r="E110" s="5" t="s">
        <v>184</v>
      </c>
    </row>
    <row r="111" spans="1:8" ht="20.100000000000001" customHeight="1" thickBot="1" x14ac:dyDescent="0.3">
      <c r="A111" s="16" t="s">
        <v>98</v>
      </c>
      <c r="B111" s="2" t="s">
        <v>7</v>
      </c>
      <c r="C111">
        <v>40</v>
      </c>
      <c r="D111" s="5">
        <f t="shared" si="4"/>
        <v>820</v>
      </c>
      <c r="E111" s="5" t="s">
        <v>179</v>
      </c>
    </row>
    <row r="112" spans="1:8" ht="20.100000000000001" customHeight="1" thickBot="1" x14ac:dyDescent="0.3">
      <c r="A112" s="17" t="s">
        <v>99</v>
      </c>
      <c r="B112" s="3" t="s">
        <v>7</v>
      </c>
      <c r="C112">
        <v>45</v>
      </c>
      <c r="D112" s="5">
        <f t="shared" si="4"/>
        <v>922.5</v>
      </c>
      <c r="E112" s="5" t="s">
        <v>177</v>
      </c>
    </row>
    <row r="113" spans="1:8" ht="20.100000000000001" customHeight="1" thickBot="1" x14ac:dyDescent="0.3">
      <c r="A113" s="16" t="s">
        <v>100</v>
      </c>
      <c r="B113" s="2" t="s">
        <v>7</v>
      </c>
      <c r="C113">
        <v>55</v>
      </c>
      <c r="D113" s="5">
        <f t="shared" si="4"/>
        <v>1127.5</v>
      </c>
      <c r="E113" s="5" t="s">
        <v>179</v>
      </c>
    </row>
    <row r="114" spans="1:8" ht="20.100000000000001" customHeight="1" thickBot="1" x14ac:dyDescent="0.3">
      <c r="A114" s="17" t="s">
        <v>101</v>
      </c>
      <c r="B114" s="3" t="s">
        <v>2</v>
      </c>
      <c r="C114">
        <v>45</v>
      </c>
      <c r="D114" s="5">
        <f t="shared" si="4"/>
        <v>1147.5</v>
      </c>
      <c r="E114" s="5" t="s">
        <v>177</v>
      </c>
    </row>
    <row r="115" spans="1:8" ht="20.100000000000001" customHeight="1" thickBot="1" x14ac:dyDescent="0.3">
      <c r="A115" s="16" t="s">
        <v>102</v>
      </c>
      <c r="B115" s="2" t="s">
        <v>2</v>
      </c>
      <c r="C115">
        <v>45</v>
      </c>
      <c r="D115" s="5">
        <f t="shared" si="4"/>
        <v>1147.5</v>
      </c>
      <c r="E115" s="5" t="s">
        <v>184</v>
      </c>
      <c r="F115" s="5">
        <f>ROUND(1928+1226,-2)</f>
        <v>3200</v>
      </c>
      <c r="G115" s="5">
        <v>2300</v>
      </c>
      <c r="H115" s="5">
        <f>G115/D115</f>
        <v>2.0043572984749454</v>
      </c>
    </row>
    <row r="116" spans="1:8" ht="20.100000000000001" customHeight="1" thickBot="1" x14ac:dyDescent="0.3">
      <c r="A116" s="17" t="s">
        <v>103</v>
      </c>
      <c r="B116" s="3" t="s">
        <v>2</v>
      </c>
      <c r="C116">
        <v>40</v>
      </c>
      <c r="D116" s="5">
        <f t="shared" si="4"/>
        <v>1020</v>
      </c>
      <c r="E116" s="5" t="s">
        <v>177</v>
      </c>
      <c r="F116" s="5">
        <f>ROUND(3442+9871,-2)</f>
        <v>13300</v>
      </c>
      <c r="G116" s="5">
        <v>1800</v>
      </c>
      <c r="H116" s="5">
        <f>G116/D116</f>
        <v>1.7647058823529411</v>
      </c>
    </row>
    <row r="117" spans="1:8" ht="20.100000000000001" customHeight="1" thickBot="1" x14ac:dyDescent="0.3">
      <c r="A117" s="17" t="s">
        <v>202</v>
      </c>
      <c r="B117" s="3" t="s">
        <v>7</v>
      </c>
      <c r="C117">
        <v>55</v>
      </c>
      <c r="D117" s="5">
        <f t="shared" si="4"/>
        <v>1127.5</v>
      </c>
      <c r="E117" s="5" t="s">
        <v>213</v>
      </c>
    </row>
    <row r="118" spans="1:8" ht="20.100000000000001" customHeight="1" thickBot="1" x14ac:dyDescent="0.3">
      <c r="A118" s="16" t="s">
        <v>104</v>
      </c>
      <c r="B118" s="2" t="s">
        <v>2</v>
      </c>
      <c r="C118">
        <v>35</v>
      </c>
      <c r="D118" s="5">
        <f t="shared" si="4"/>
        <v>892.5</v>
      </c>
      <c r="E118" s="5" t="s">
        <v>177</v>
      </c>
    </row>
    <row r="119" spans="1:8" ht="20.100000000000001" customHeight="1" thickBot="1" x14ac:dyDescent="0.3">
      <c r="A119" s="17" t="s">
        <v>105</v>
      </c>
      <c r="B119" s="3" t="s">
        <v>7</v>
      </c>
      <c r="C119">
        <v>55</v>
      </c>
      <c r="D119" s="5">
        <f t="shared" si="4"/>
        <v>1127.5</v>
      </c>
      <c r="E119" s="5" t="s">
        <v>177</v>
      </c>
    </row>
    <row r="120" spans="1:8" ht="20.100000000000001" customHeight="1" thickBot="1" x14ac:dyDescent="0.3">
      <c r="A120" s="16" t="s">
        <v>106</v>
      </c>
      <c r="B120" s="2" t="s">
        <v>7</v>
      </c>
      <c r="C120">
        <v>50</v>
      </c>
      <c r="D120" s="5">
        <f t="shared" si="4"/>
        <v>1025</v>
      </c>
      <c r="E120" s="5" t="s">
        <v>197</v>
      </c>
      <c r="F120" s="5">
        <f>ROUND(5800+6200,-2)</f>
        <v>12000</v>
      </c>
      <c r="G120" s="5">
        <v>1900</v>
      </c>
      <c r="H120" s="5">
        <f>G120/D120</f>
        <v>1.8536585365853659</v>
      </c>
    </row>
    <row r="121" spans="1:8" ht="20.100000000000001" customHeight="1" thickBot="1" x14ac:dyDescent="0.3">
      <c r="A121" s="17" t="s">
        <v>203</v>
      </c>
      <c r="B121" s="3" t="s">
        <v>7</v>
      </c>
      <c r="C121">
        <v>55</v>
      </c>
      <c r="D121" s="5">
        <f t="shared" si="4"/>
        <v>1127.5</v>
      </c>
      <c r="E121" s="5" t="s">
        <v>213</v>
      </c>
    </row>
    <row r="122" spans="1:8" ht="20.100000000000001" customHeight="1" thickBot="1" x14ac:dyDescent="0.3">
      <c r="A122" s="17" t="s">
        <v>107</v>
      </c>
      <c r="B122" s="3" t="s">
        <v>2</v>
      </c>
      <c r="C122">
        <v>40</v>
      </c>
      <c r="D122" s="5">
        <f t="shared" si="4"/>
        <v>1020</v>
      </c>
      <c r="E122" s="5" t="s">
        <v>184</v>
      </c>
    </row>
    <row r="123" spans="1:8" ht="20.100000000000001" customHeight="1" thickBot="1" x14ac:dyDescent="0.3">
      <c r="A123" s="16" t="s">
        <v>108</v>
      </c>
      <c r="B123" s="2" t="s">
        <v>2</v>
      </c>
      <c r="C123">
        <v>45</v>
      </c>
      <c r="D123" s="5">
        <f t="shared" si="4"/>
        <v>1147.5</v>
      </c>
      <c r="E123" s="5" t="s">
        <v>184</v>
      </c>
    </row>
    <row r="124" spans="1:8" ht="20.100000000000001" customHeight="1" thickBot="1" x14ac:dyDescent="0.3">
      <c r="A124" s="17" t="s">
        <v>109</v>
      </c>
      <c r="B124" s="3" t="s">
        <v>2</v>
      </c>
      <c r="C124">
        <v>40</v>
      </c>
      <c r="D124" s="5">
        <f t="shared" si="4"/>
        <v>1020</v>
      </c>
      <c r="E124" s="5" t="s">
        <v>179</v>
      </c>
    </row>
    <row r="125" spans="1:8" ht="20.100000000000001" customHeight="1" thickBot="1" x14ac:dyDescent="0.3">
      <c r="A125" s="16" t="s">
        <v>110</v>
      </c>
      <c r="B125" s="2" t="s">
        <v>7</v>
      </c>
      <c r="C125">
        <v>50</v>
      </c>
      <c r="D125" s="5">
        <f t="shared" si="4"/>
        <v>1025</v>
      </c>
      <c r="E125" s="5" t="s">
        <v>177</v>
      </c>
    </row>
    <row r="126" spans="1:8" ht="20.100000000000001" customHeight="1" thickBot="1" x14ac:dyDescent="0.3">
      <c r="A126" s="17" t="s">
        <v>178</v>
      </c>
      <c r="B126" s="3" t="s">
        <v>7</v>
      </c>
      <c r="C126">
        <v>45</v>
      </c>
      <c r="D126" s="5">
        <f t="shared" si="4"/>
        <v>922.5</v>
      </c>
      <c r="E126" s="5" t="s">
        <v>179</v>
      </c>
    </row>
    <row r="127" spans="1:8" ht="20.100000000000001" customHeight="1" thickBot="1" x14ac:dyDescent="0.3">
      <c r="A127" s="16" t="s">
        <v>111</v>
      </c>
      <c r="B127" s="2" t="s">
        <v>7</v>
      </c>
      <c r="C127">
        <v>50</v>
      </c>
      <c r="D127" s="5">
        <f t="shared" si="4"/>
        <v>1025</v>
      </c>
      <c r="E127" s="5" t="s">
        <v>177</v>
      </c>
    </row>
    <row r="128" spans="1:8" ht="20.100000000000001" customHeight="1" thickBot="1" x14ac:dyDescent="0.3">
      <c r="A128" s="17" t="s">
        <v>204</v>
      </c>
      <c r="B128" s="3" t="s">
        <v>7</v>
      </c>
      <c r="C128">
        <v>55</v>
      </c>
      <c r="D128" s="5">
        <f t="shared" si="4"/>
        <v>1127.5</v>
      </c>
      <c r="E128" s="5" t="s">
        <v>213</v>
      </c>
    </row>
    <row r="129" spans="1:8" ht="20.100000000000001" customHeight="1" thickBot="1" x14ac:dyDescent="0.3">
      <c r="A129" s="17" t="s">
        <v>112</v>
      </c>
      <c r="B129" s="3" t="s">
        <v>2</v>
      </c>
      <c r="C129">
        <v>45</v>
      </c>
      <c r="D129" s="5">
        <f t="shared" si="4"/>
        <v>1147.5</v>
      </c>
      <c r="E129" s="5" t="s">
        <v>184</v>
      </c>
      <c r="F129" s="5">
        <f>ROUND(1074+1295,-2)</f>
        <v>2400</v>
      </c>
      <c r="G129" s="5">
        <v>5300</v>
      </c>
      <c r="H129" s="5">
        <f>G129/D129</f>
        <v>4.6187363834422657</v>
      </c>
    </row>
    <row r="130" spans="1:8" ht="20.100000000000001" customHeight="1" thickBot="1" x14ac:dyDescent="0.3">
      <c r="A130" s="16" t="s">
        <v>113</v>
      </c>
      <c r="B130" s="2" t="s">
        <v>7</v>
      </c>
      <c r="C130">
        <v>50</v>
      </c>
      <c r="D130" s="5">
        <f t="shared" ref="D130:D193" si="5">C130*VLOOKUP($B130,$J$2:$K$4,2)</f>
        <v>1025</v>
      </c>
      <c r="E130" s="5" t="s">
        <v>179</v>
      </c>
    </row>
    <row r="131" spans="1:8" ht="20.100000000000001" customHeight="1" thickBot="1" x14ac:dyDescent="0.3">
      <c r="A131" s="17" t="s">
        <v>114</v>
      </c>
      <c r="B131" s="3" t="s">
        <v>2</v>
      </c>
      <c r="C131">
        <v>45</v>
      </c>
      <c r="D131" s="5">
        <f t="shared" si="5"/>
        <v>1147.5</v>
      </c>
      <c r="E131" s="5" t="s">
        <v>177</v>
      </c>
    </row>
    <row r="132" spans="1:8" ht="20.100000000000001" customHeight="1" thickBot="1" x14ac:dyDescent="0.3">
      <c r="A132" s="16" t="s">
        <v>115</v>
      </c>
      <c r="B132" s="2" t="s">
        <v>2</v>
      </c>
      <c r="C132">
        <v>45</v>
      </c>
      <c r="D132" s="5">
        <f t="shared" si="5"/>
        <v>1147.5</v>
      </c>
      <c r="E132" s="5" t="s">
        <v>177</v>
      </c>
    </row>
    <row r="133" spans="1:8" ht="20.100000000000001" customHeight="1" thickBot="1" x14ac:dyDescent="0.3">
      <c r="A133" s="17" t="s">
        <v>116</v>
      </c>
      <c r="B133" s="3" t="s">
        <v>7</v>
      </c>
      <c r="C133">
        <v>45</v>
      </c>
      <c r="D133" s="5">
        <f t="shared" si="5"/>
        <v>922.5</v>
      </c>
      <c r="E133" s="5" t="s">
        <v>197</v>
      </c>
    </row>
    <row r="134" spans="1:8" ht="20.100000000000001" customHeight="1" thickBot="1" x14ac:dyDescent="0.3">
      <c r="A134" s="17" t="s">
        <v>205</v>
      </c>
      <c r="B134" s="3" t="s">
        <v>7</v>
      </c>
      <c r="C134">
        <v>55</v>
      </c>
      <c r="D134" s="5">
        <f t="shared" si="5"/>
        <v>1127.5</v>
      </c>
      <c r="E134" s="5" t="s">
        <v>213</v>
      </c>
    </row>
    <row r="135" spans="1:8" ht="20.100000000000001" customHeight="1" thickBot="1" x14ac:dyDescent="0.3">
      <c r="A135" s="16" t="s">
        <v>117</v>
      </c>
      <c r="B135" s="2" t="s">
        <v>2</v>
      </c>
      <c r="C135">
        <v>45</v>
      </c>
      <c r="D135" s="5">
        <f t="shared" si="5"/>
        <v>1147.5</v>
      </c>
      <c r="E135" s="5" t="s">
        <v>184</v>
      </c>
      <c r="F135" s="5">
        <f>ROUND(1887+1368,-2)</f>
        <v>3300</v>
      </c>
      <c r="G135" s="5">
        <v>3200</v>
      </c>
      <c r="H135" s="5">
        <f>G135/D135</f>
        <v>2.7886710239651418</v>
      </c>
    </row>
    <row r="136" spans="1:8" ht="20.100000000000001" customHeight="1" thickBot="1" x14ac:dyDescent="0.3">
      <c r="A136" s="17" t="s">
        <v>118</v>
      </c>
      <c r="B136" s="3" t="s">
        <v>2</v>
      </c>
      <c r="C136">
        <v>55</v>
      </c>
      <c r="D136" s="5">
        <f t="shared" si="5"/>
        <v>1402.5</v>
      </c>
      <c r="E136" s="5" t="s">
        <v>184</v>
      </c>
      <c r="F136" s="5">
        <f>ROUND(3098+1845,-2)</f>
        <v>4900</v>
      </c>
      <c r="G136" s="5">
        <v>2700</v>
      </c>
      <c r="H136" s="5">
        <f>G136/D136</f>
        <v>1.9251336898395721</v>
      </c>
    </row>
    <row r="137" spans="1:8" ht="20.100000000000001" customHeight="1" thickBot="1" x14ac:dyDescent="0.3">
      <c r="A137" s="16" t="s">
        <v>119</v>
      </c>
      <c r="B137" s="2" t="s">
        <v>7</v>
      </c>
      <c r="C137">
        <v>55</v>
      </c>
      <c r="D137" s="5">
        <f t="shared" si="5"/>
        <v>1127.5</v>
      </c>
      <c r="E137" s="5" t="s">
        <v>213</v>
      </c>
      <c r="F137" s="5">
        <f>ROUND(9300+9400,-2)</f>
        <v>18700</v>
      </c>
      <c r="G137" s="5">
        <v>1900</v>
      </c>
      <c r="H137" s="5">
        <f>G137/D137</f>
        <v>1.6851441241685143</v>
      </c>
    </row>
    <row r="138" spans="1:8" ht="20.100000000000001" customHeight="1" thickBot="1" x14ac:dyDescent="0.3">
      <c r="A138" s="16" t="s">
        <v>120</v>
      </c>
      <c r="B138" s="2" t="s">
        <v>2</v>
      </c>
      <c r="C138">
        <v>40</v>
      </c>
      <c r="D138" s="5">
        <f t="shared" si="5"/>
        <v>1020</v>
      </c>
      <c r="E138" s="5" t="s">
        <v>179</v>
      </c>
    </row>
    <row r="139" spans="1:8" ht="20.100000000000001" customHeight="1" thickBot="1" x14ac:dyDescent="0.3">
      <c r="A139" s="16" t="s">
        <v>121</v>
      </c>
      <c r="B139" s="2" t="s">
        <v>2</v>
      </c>
      <c r="C139">
        <v>35</v>
      </c>
      <c r="D139" s="5">
        <f t="shared" si="5"/>
        <v>892.5</v>
      </c>
      <c r="E139" s="5" t="s">
        <v>179</v>
      </c>
    </row>
    <row r="140" spans="1:8" ht="20.100000000000001" customHeight="1" thickBot="1" x14ac:dyDescent="0.3">
      <c r="A140" s="17" t="s">
        <v>206</v>
      </c>
      <c r="B140" s="3" t="s">
        <v>7</v>
      </c>
      <c r="C140">
        <v>55</v>
      </c>
      <c r="D140" s="5">
        <f t="shared" si="5"/>
        <v>1127.5</v>
      </c>
      <c r="E140" s="5" t="s">
        <v>213</v>
      </c>
    </row>
    <row r="141" spans="1:8" ht="20.100000000000001" customHeight="1" thickBot="1" x14ac:dyDescent="0.3">
      <c r="A141" s="17" t="s">
        <v>122</v>
      </c>
      <c r="B141" s="3" t="s">
        <v>7</v>
      </c>
      <c r="C141">
        <v>45</v>
      </c>
      <c r="D141" s="5">
        <f t="shared" si="5"/>
        <v>922.5</v>
      </c>
      <c r="E141" s="5" t="s">
        <v>197</v>
      </c>
    </row>
    <row r="142" spans="1:8" ht="20.100000000000001" customHeight="1" thickBot="1" x14ac:dyDescent="0.3">
      <c r="A142" s="17" t="s">
        <v>207</v>
      </c>
      <c r="B142" s="3" t="s">
        <v>7</v>
      </c>
      <c r="C142">
        <v>55</v>
      </c>
      <c r="D142" s="5">
        <f t="shared" si="5"/>
        <v>1127.5</v>
      </c>
      <c r="E142" s="5" t="s">
        <v>213</v>
      </c>
    </row>
    <row r="143" spans="1:8" ht="20.100000000000001" customHeight="1" thickBot="1" x14ac:dyDescent="0.3">
      <c r="A143" s="16" t="s">
        <v>123</v>
      </c>
      <c r="B143" s="2" t="s">
        <v>7</v>
      </c>
      <c r="C143">
        <v>45</v>
      </c>
      <c r="D143" s="5">
        <f t="shared" si="5"/>
        <v>922.5</v>
      </c>
      <c r="E143" s="5" t="s">
        <v>185</v>
      </c>
    </row>
    <row r="144" spans="1:8" ht="20.100000000000001" customHeight="1" thickBot="1" x14ac:dyDescent="0.3">
      <c r="A144" s="17" t="s">
        <v>124</v>
      </c>
      <c r="B144" s="3" t="s">
        <v>7</v>
      </c>
      <c r="C144">
        <v>50</v>
      </c>
      <c r="D144" s="5">
        <f t="shared" si="5"/>
        <v>1025</v>
      </c>
      <c r="E144" s="5" t="s">
        <v>185</v>
      </c>
    </row>
    <row r="145" spans="1:8" ht="20.100000000000001" customHeight="1" thickBot="1" x14ac:dyDescent="0.3">
      <c r="A145" s="16" t="s">
        <v>125</v>
      </c>
      <c r="B145" s="2" t="s">
        <v>2</v>
      </c>
      <c r="C145">
        <v>40</v>
      </c>
      <c r="D145" s="5">
        <f t="shared" si="5"/>
        <v>1020</v>
      </c>
      <c r="E145" s="5" t="s">
        <v>177</v>
      </c>
    </row>
    <row r="146" spans="1:8" ht="20.100000000000001" customHeight="1" thickBot="1" x14ac:dyDescent="0.3">
      <c r="A146" s="17" t="s">
        <v>126</v>
      </c>
      <c r="B146" s="3" t="s">
        <v>2</v>
      </c>
      <c r="C146">
        <v>35</v>
      </c>
      <c r="D146" s="5">
        <f t="shared" si="5"/>
        <v>892.5</v>
      </c>
      <c r="E146" s="5" t="s">
        <v>184</v>
      </c>
      <c r="F146" s="5">
        <f>ROUND(1763+964,-2)</f>
        <v>2700</v>
      </c>
      <c r="G146" s="5">
        <v>2400</v>
      </c>
      <c r="H146" s="5">
        <f>G146/D146</f>
        <v>2.6890756302521011</v>
      </c>
    </row>
    <row r="147" spans="1:8" ht="20.100000000000001" customHeight="1" thickBot="1" x14ac:dyDescent="0.3">
      <c r="A147" s="16" t="s">
        <v>181</v>
      </c>
      <c r="B147" s="2" t="s">
        <v>2</v>
      </c>
      <c r="C147">
        <v>40</v>
      </c>
      <c r="D147" s="5">
        <f t="shared" si="5"/>
        <v>1020</v>
      </c>
      <c r="E147" s="5" t="s">
        <v>184</v>
      </c>
      <c r="F147" s="5">
        <f>ROUND(1900+1391,-2)</f>
        <v>3300</v>
      </c>
      <c r="G147" s="5">
        <v>2700</v>
      </c>
      <c r="H147" s="5">
        <f>G147/D147</f>
        <v>2.6470588235294117</v>
      </c>
    </row>
    <row r="148" spans="1:8" ht="20.100000000000001" customHeight="1" thickBot="1" x14ac:dyDescent="0.3">
      <c r="A148" s="16" t="s">
        <v>127</v>
      </c>
      <c r="B148" s="2" t="s">
        <v>2</v>
      </c>
      <c r="C148">
        <v>45</v>
      </c>
      <c r="D148" s="5">
        <f t="shared" si="5"/>
        <v>1147.5</v>
      </c>
      <c r="E148" s="5" t="s">
        <v>184</v>
      </c>
      <c r="F148" s="5">
        <f>ROUND(1859+1928,-2)</f>
        <v>3800</v>
      </c>
      <c r="G148" s="5">
        <v>1900</v>
      </c>
      <c r="H148" s="5">
        <f>G148/D148</f>
        <v>1.6557734204793029</v>
      </c>
    </row>
    <row r="149" spans="1:8" ht="20.100000000000001" customHeight="1" thickBot="1" x14ac:dyDescent="0.3">
      <c r="A149" s="17" t="s">
        <v>128</v>
      </c>
      <c r="B149" s="3" t="s">
        <v>2</v>
      </c>
      <c r="C149">
        <v>45</v>
      </c>
      <c r="D149" s="5">
        <f t="shared" si="5"/>
        <v>1147.5</v>
      </c>
      <c r="E149" s="5" t="s">
        <v>177</v>
      </c>
    </row>
    <row r="150" spans="1:8" ht="20.100000000000001" customHeight="1" thickBot="1" x14ac:dyDescent="0.3">
      <c r="A150" s="16" t="s">
        <v>129</v>
      </c>
      <c r="B150" s="2" t="s">
        <v>2</v>
      </c>
      <c r="C150">
        <v>35</v>
      </c>
      <c r="D150" s="5">
        <f t="shared" si="5"/>
        <v>892.5</v>
      </c>
      <c r="E150" s="5" t="s">
        <v>184</v>
      </c>
      <c r="F150" s="5">
        <f>ROUND(1529+1322,-2)</f>
        <v>2900</v>
      </c>
      <c r="G150" s="5">
        <v>1500</v>
      </c>
      <c r="H150" s="5">
        <f>G150/D150</f>
        <v>1.680672268907563</v>
      </c>
    </row>
    <row r="151" spans="1:8" ht="20.100000000000001" customHeight="1" thickBot="1" x14ac:dyDescent="0.3">
      <c r="A151" s="17" t="s">
        <v>130</v>
      </c>
      <c r="B151" s="3" t="s">
        <v>2</v>
      </c>
      <c r="C151">
        <v>45</v>
      </c>
      <c r="D151" s="5">
        <f t="shared" si="5"/>
        <v>1147.5</v>
      </c>
      <c r="E151" s="5" t="s">
        <v>179</v>
      </c>
      <c r="F151" s="5">
        <f>ROUND(2800+2400,-2)</f>
        <v>5200</v>
      </c>
      <c r="G151" s="5">
        <v>1300</v>
      </c>
      <c r="H151" s="5">
        <f>G151/D151</f>
        <v>1.1328976034858387</v>
      </c>
    </row>
    <row r="152" spans="1:8" ht="20.100000000000001" customHeight="1" thickBot="1" x14ac:dyDescent="0.3">
      <c r="A152" s="16" t="s">
        <v>131</v>
      </c>
      <c r="B152" s="2" t="s">
        <v>7</v>
      </c>
      <c r="C152">
        <v>55</v>
      </c>
      <c r="D152" s="5">
        <f t="shared" si="5"/>
        <v>1127.5</v>
      </c>
      <c r="E152" s="5" t="s">
        <v>177</v>
      </c>
    </row>
    <row r="153" spans="1:8" ht="20.100000000000001" customHeight="1" thickBot="1" x14ac:dyDescent="0.3">
      <c r="A153" s="16" t="s">
        <v>132</v>
      </c>
      <c r="B153" s="2" t="s">
        <v>2</v>
      </c>
      <c r="C153">
        <v>40</v>
      </c>
      <c r="D153" s="5">
        <f t="shared" si="5"/>
        <v>1020</v>
      </c>
      <c r="E153" s="5" t="s">
        <v>184</v>
      </c>
      <c r="F153" s="5">
        <f>ROUND(2162+1306,-2)</f>
        <v>3500</v>
      </c>
      <c r="G153" s="5">
        <v>1600</v>
      </c>
      <c r="H153" s="5">
        <f>G153/D153</f>
        <v>1.5686274509803921</v>
      </c>
    </row>
    <row r="154" spans="1:8" ht="20.100000000000001" customHeight="1" thickBot="1" x14ac:dyDescent="0.3">
      <c r="A154" s="16" t="s">
        <v>133</v>
      </c>
      <c r="B154" s="2" t="s">
        <v>7</v>
      </c>
      <c r="C154">
        <v>45</v>
      </c>
      <c r="D154" s="5">
        <f t="shared" si="5"/>
        <v>922.5</v>
      </c>
      <c r="E154" s="5" t="s">
        <v>197</v>
      </c>
    </row>
    <row r="155" spans="1:8" ht="20.100000000000001" customHeight="1" thickBot="1" x14ac:dyDescent="0.3">
      <c r="A155" s="17" t="s">
        <v>208</v>
      </c>
      <c r="B155" s="3" t="s">
        <v>7</v>
      </c>
      <c r="C155">
        <v>55</v>
      </c>
      <c r="D155" s="5">
        <f t="shared" si="5"/>
        <v>1127.5</v>
      </c>
      <c r="E155" s="5" t="s">
        <v>213</v>
      </c>
    </row>
    <row r="156" spans="1:8" ht="20.100000000000001" customHeight="1" thickBot="1" x14ac:dyDescent="0.3">
      <c r="A156" s="16" t="s">
        <v>182</v>
      </c>
      <c r="B156" s="2" t="s">
        <v>2</v>
      </c>
      <c r="C156">
        <v>45</v>
      </c>
      <c r="D156" s="5">
        <f t="shared" si="5"/>
        <v>1147.5</v>
      </c>
      <c r="E156" s="5" t="s">
        <v>184</v>
      </c>
    </row>
    <row r="157" spans="1:8" ht="20.100000000000001" customHeight="1" thickBot="1" x14ac:dyDescent="0.3">
      <c r="A157" s="17" t="s">
        <v>134</v>
      </c>
      <c r="B157" s="3" t="s">
        <v>2</v>
      </c>
      <c r="C157">
        <v>40</v>
      </c>
      <c r="D157" s="5">
        <f t="shared" si="5"/>
        <v>1020</v>
      </c>
      <c r="E157" s="5" t="s">
        <v>179</v>
      </c>
      <c r="F157" s="5">
        <f>ROUND(4351+4200,-2)</f>
        <v>8600</v>
      </c>
      <c r="G157" s="5">
        <v>1300</v>
      </c>
      <c r="H157" s="5">
        <f>G157/D157</f>
        <v>1.2745098039215685</v>
      </c>
    </row>
    <row r="158" spans="1:8" ht="20.100000000000001" customHeight="1" thickBot="1" x14ac:dyDescent="0.3">
      <c r="A158" s="16" t="s">
        <v>135</v>
      </c>
      <c r="B158" s="2" t="s">
        <v>2</v>
      </c>
      <c r="C158">
        <v>40</v>
      </c>
      <c r="D158" s="5">
        <f t="shared" si="5"/>
        <v>1020</v>
      </c>
      <c r="E158" s="5" t="s">
        <v>177</v>
      </c>
    </row>
    <row r="159" spans="1:8" ht="20.100000000000001" customHeight="1" thickBot="1" x14ac:dyDescent="0.3">
      <c r="A159" s="17" t="s">
        <v>136</v>
      </c>
      <c r="B159" s="3" t="s">
        <v>7</v>
      </c>
      <c r="C159">
        <v>60</v>
      </c>
      <c r="D159" s="5">
        <f t="shared" si="5"/>
        <v>1230</v>
      </c>
      <c r="E159" s="5" t="s">
        <v>177</v>
      </c>
    </row>
    <row r="160" spans="1:8" ht="20.100000000000001" customHeight="1" thickBot="1" x14ac:dyDescent="0.3">
      <c r="A160" s="16" t="s">
        <v>137</v>
      </c>
      <c r="B160" s="2" t="s">
        <v>2</v>
      </c>
      <c r="C160">
        <v>40</v>
      </c>
      <c r="D160" s="5">
        <f t="shared" si="5"/>
        <v>1020</v>
      </c>
      <c r="E160" s="5" t="s">
        <v>177</v>
      </c>
    </row>
    <row r="161" spans="1:8" ht="20.100000000000001" customHeight="1" thickBot="1" x14ac:dyDescent="0.3">
      <c r="A161" s="17" t="s">
        <v>138</v>
      </c>
      <c r="B161" s="3" t="s">
        <v>7</v>
      </c>
      <c r="C161">
        <v>50</v>
      </c>
      <c r="D161" s="5">
        <f t="shared" si="5"/>
        <v>1025</v>
      </c>
      <c r="E161" s="5" t="s">
        <v>179</v>
      </c>
      <c r="F161" s="5">
        <f>ROUND(5025+6480,-2)</f>
        <v>11500</v>
      </c>
      <c r="G161" s="5">
        <v>1950</v>
      </c>
      <c r="H161" s="5">
        <f>G161/D161</f>
        <v>1.9024390243902438</v>
      </c>
    </row>
    <row r="162" spans="1:8" ht="20.100000000000001" customHeight="1" thickBot="1" x14ac:dyDescent="0.3">
      <c r="A162" s="17" t="s">
        <v>140</v>
      </c>
      <c r="B162" s="3" t="s">
        <v>2</v>
      </c>
      <c r="C162">
        <v>35</v>
      </c>
      <c r="D162" s="5">
        <f t="shared" si="5"/>
        <v>892.5</v>
      </c>
      <c r="E162" s="5" t="s">
        <v>184</v>
      </c>
      <c r="F162" s="5">
        <f>ROUND(1818+1267,-2)</f>
        <v>3100</v>
      </c>
      <c r="G162" s="5">
        <v>1600</v>
      </c>
      <c r="H162" s="5">
        <f>G162/D162</f>
        <v>1.792717086834734</v>
      </c>
    </row>
    <row r="163" spans="1:8" ht="20.100000000000001" customHeight="1" thickBot="1" x14ac:dyDescent="0.3">
      <c r="A163" s="16" t="s">
        <v>141</v>
      </c>
      <c r="B163" s="2" t="s">
        <v>2</v>
      </c>
      <c r="C163">
        <v>35</v>
      </c>
      <c r="D163" s="5">
        <f t="shared" si="5"/>
        <v>892.5</v>
      </c>
      <c r="E163" s="5" t="s">
        <v>184</v>
      </c>
      <c r="F163" s="5">
        <f>ROUND(2423+1859,-2)</f>
        <v>4300</v>
      </c>
      <c r="G163" s="5">
        <v>2500</v>
      </c>
      <c r="H163" s="5">
        <f>G163/D163</f>
        <v>2.8011204481792715</v>
      </c>
    </row>
    <row r="164" spans="1:8" ht="20.100000000000001" customHeight="1" thickBot="1" x14ac:dyDescent="0.3">
      <c r="A164" s="17" t="s">
        <v>142</v>
      </c>
      <c r="B164" s="3" t="s">
        <v>7</v>
      </c>
      <c r="C164">
        <v>55</v>
      </c>
      <c r="D164" s="5">
        <f t="shared" si="5"/>
        <v>1127.5</v>
      </c>
      <c r="E164" s="5" t="s">
        <v>177</v>
      </c>
    </row>
    <row r="165" spans="1:8" ht="20.100000000000001" customHeight="1" thickBot="1" x14ac:dyDescent="0.3">
      <c r="A165" s="16" t="s">
        <v>139</v>
      </c>
      <c r="B165" s="2" t="s">
        <v>7</v>
      </c>
      <c r="C165">
        <v>55</v>
      </c>
      <c r="D165" s="5">
        <f t="shared" si="5"/>
        <v>1127.5</v>
      </c>
      <c r="E165" s="5" t="s">
        <v>179</v>
      </c>
      <c r="F165" s="5">
        <f>ROUND(4144+3249,-2)</f>
        <v>7400</v>
      </c>
      <c r="G165" s="5">
        <v>1350</v>
      </c>
      <c r="H165" s="5">
        <f>G165/D165</f>
        <v>1.1973392461197339</v>
      </c>
    </row>
    <row r="166" spans="1:8" ht="20.100000000000001" customHeight="1" thickBot="1" x14ac:dyDescent="0.3">
      <c r="A166" s="16" t="s">
        <v>143</v>
      </c>
      <c r="B166" s="2" t="s">
        <v>7</v>
      </c>
      <c r="C166">
        <v>55</v>
      </c>
      <c r="D166" s="5">
        <f t="shared" si="5"/>
        <v>1127.5</v>
      </c>
      <c r="E166" s="5" t="s">
        <v>197</v>
      </c>
      <c r="F166" s="5">
        <f>ROUND(6000+6000,-2)</f>
        <v>12000</v>
      </c>
      <c r="G166" s="5">
        <v>4600</v>
      </c>
      <c r="H166" s="5">
        <f>G166/D166</f>
        <v>4.0798226164079825</v>
      </c>
    </row>
    <row r="167" spans="1:8" ht="20.100000000000001" customHeight="1" thickBot="1" x14ac:dyDescent="0.3">
      <c r="A167" s="17" t="s">
        <v>144</v>
      </c>
      <c r="B167" s="3" t="s">
        <v>2</v>
      </c>
      <c r="C167">
        <v>35</v>
      </c>
      <c r="D167" s="5">
        <f t="shared" si="5"/>
        <v>892.5</v>
      </c>
      <c r="E167" s="5" t="s">
        <v>184</v>
      </c>
      <c r="F167" s="5">
        <f>ROUND(2313+2176,-2)</f>
        <v>4500</v>
      </c>
      <c r="G167" s="5">
        <v>1900</v>
      </c>
      <c r="H167" s="5">
        <f>G167/D167</f>
        <v>2.1288515406162465</v>
      </c>
    </row>
    <row r="168" spans="1:8" ht="20.100000000000001" customHeight="1" thickBot="1" x14ac:dyDescent="0.3">
      <c r="A168" s="16" t="s">
        <v>145</v>
      </c>
      <c r="B168" s="2" t="s">
        <v>7</v>
      </c>
      <c r="C168">
        <v>50</v>
      </c>
      <c r="D168" s="5">
        <f t="shared" si="5"/>
        <v>1025</v>
      </c>
      <c r="E168" s="5" t="s">
        <v>179</v>
      </c>
    </row>
    <row r="169" spans="1:8" ht="20.100000000000001" customHeight="1" thickBot="1" x14ac:dyDescent="0.3">
      <c r="A169" s="17" t="s">
        <v>146</v>
      </c>
      <c r="B169" s="3" t="s">
        <v>7</v>
      </c>
      <c r="C169">
        <v>50</v>
      </c>
      <c r="D169" s="5">
        <f t="shared" si="5"/>
        <v>1025</v>
      </c>
      <c r="E169" s="5" t="s">
        <v>177</v>
      </c>
    </row>
    <row r="170" spans="1:8" ht="20.100000000000001" customHeight="1" thickBot="1" x14ac:dyDescent="0.3">
      <c r="A170" s="16" t="s">
        <v>147</v>
      </c>
      <c r="B170" s="2" t="s">
        <v>7</v>
      </c>
      <c r="C170">
        <v>55</v>
      </c>
      <c r="D170" s="5">
        <f t="shared" si="5"/>
        <v>1127.5</v>
      </c>
      <c r="E170" s="5" t="s">
        <v>177</v>
      </c>
    </row>
    <row r="171" spans="1:8" ht="20.100000000000001" customHeight="1" thickBot="1" x14ac:dyDescent="0.3">
      <c r="A171" s="17" t="s">
        <v>148</v>
      </c>
      <c r="B171" s="3" t="s">
        <v>7</v>
      </c>
      <c r="C171">
        <v>50</v>
      </c>
      <c r="D171" s="5">
        <f t="shared" si="5"/>
        <v>1025</v>
      </c>
      <c r="E171" s="5" t="s">
        <v>185</v>
      </c>
    </row>
    <row r="172" spans="1:8" ht="20.100000000000001" customHeight="1" thickBot="1" x14ac:dyDescent="0.3">
      <c r="A172" s="16" t="s">
        <v>193</v>
      </c>
      <c r="B172" s="2" t="s">
        <v>7</v>
      </c>
      <c r="C172">
        <v>55</v>
      </c>
      <c r="D172" s="5">
        <f t="shared" si="5"/>
        <v>1127.5</v>
      </c>
      <c r="E172" s="5" t="s">
        <v>197</v>
      </c>
    </row>
    <row r="173" spans="1:8" ht="20.100000000000001" customHeight="1" thickBot="1" x14ac:dyDescent="0.3">
      <c r="A173" s="16" t="s">
        <v>194</v>
      </c>
      <c r="B173" s="2" t="s">
        <v>7</v>
      </c>
      <c r="C173">
        <v>55</v>
      </c>
      <c r="D173" s="5">
        <f t="shared" si="5"/>
        <v>1127.5</v>
      </c>
      <c r="E173" s="5" t="s">
        <v>197</v>
      </c>
    </row>
    <row r="174" spans="1:8" ht="20.100000000000001" customHeight="1" thickBot="1" x14ac:dyDescent="0.3">
      <c r="A174" s="16" t="s">
        <v>149</v>
      </c>
      <c r="B174" s="2" t="s">
        <v>2</v>
      </c>
      <c r="C174">
        <v>35</v>
      </c>
      <c r="D174" s="5">
        <f t="shared" si="5"/>
        <v>892.5</v>
      </c>
      <c r="E174" s="5" t="s">
        <v>177</v>
      </c>
    </row>
    <row r="175" spans="1:8" ht="20.100000000000001" customHeight="1" thickBot="1" x14ac:dyDescent="0.3">
      <c r="A175" s="16" t="s">
        <v>195</v>
      </c>
      <c r="B175" s="2" t="s">
        <v>7</v>
      </c>
      <c r="C175">
        <v>55</v>
      </c>
      <c r="D175" s="5">
        <f t="shared" si="5"/>
        <v>1127.5</v>
      </c>
      <c r="E175" s="5" t="s">
        <v>197</v>
      </c>
    </row>
    <row r="176" spans="1:8" ht="20.100000000000001" customHeight="1" thickBot="1" x14ac:dyDescent="0.3">
      <c r="A176" s="17" t="s">
        <v>150</v>
      </c>
      <c r="B176" s="3" t="s">
        <v>7</v>
      </c>
      <c r="C176">
        <v>55</v>
      </c>
      <c r="D176" s="5">
        <f t="shared" si="5"/>
        <v>1127.5</v>
      </c>
      <c r="E176" s="5" t="s">
        <v>177</v>
      </c>
    </row>
    <row r="177" spans="1:8" ht="20.100000000000001" customHeight="1" thickBot="1" x14ac:dyDescent="0.3">
      <c r="A177" s="16" t="s">
        <v>151</v>
      </c>
      <c r="B177" s="2" t="s">
        <v>2</v>
      </c>
      <c r="C177">
        <v>40</v>
      </c>
      <c r="D177" s="5">
        <f t="shared" si="5"/>
        <v>1020</v>
      </c>
      <c r="E177" s="5" t="s">
        <v>179</v>
      </c>
    </row>
    <row r="178" spans="1:8" ht="20.100000000000001" customHeight="1" thickBot="1" x14ac:dyDescent="0.3">
      <c r="A178" s="17" t="s">
        <v>209</v>
      </c>
      <c r="B178" s="3" t="s">
        <v>7</v>
      </c>
      <c r="C178">
        <v>55</v>
      </c>
      <c r="D178" s="5">
        <f t="shared" si="5"/>
        <v>1127.5</v>
      </c>
      <c r="E178" s="5" t="s">
        <v>213</v>
      </c>
    </row>
    <row r="179" spans="1:8" ht="20.100000000000001" customHeight="1" thickBot="1" x14ac:dyDescent="0.3">
      <c r="A179" s="16" t="s">
        <v>152</v>
      </c>
      <c r="B179" s="2" t="s">
        <v>2</v>
      </c>
      <c r="C179">
        <v>40</v>
      </c>
      <c r="D179" s="5">
        <f t="shared" si="5"/>
        <v>1020</v>
      </c>
      <c r="E179" s="5" t="s">
        <v>184</v>
      </c>
      <c r="F179" s="5">
        <f>ROUND(3153+1074,-2)</f>
        <v>4200</v>
      </c>
      <c r="G179" s="5">
        <v>3000</v>
      </c>
      <c r="H179" s="5">
        <f>G179/D179</f>
        <v>2.9411764705882355</v>
      </c>
    </row>
    <row r="180" spans="1:8" ht="20.100000000000001" customHeight="1" thickBot="1" x14ac:dyDescent="0.3">
      <c r="A180" s="17" t="s">
        <v>153</v>
      </c>
      <c r="B180" s="3" t="s">
        <v>2</v>
      </c>
      <c r="C180">
        <v>50</v>
      </c>
      <c r="D180" s="5">
        <f t="shared" si="5"/>
        <v>1275</v>
      </c>
      <c r="E180" s="5" t="s">
        <v>184</v>
      </c>
      <c r="F180" s="5">
        <f>ROUND(1295+1253,-2)</f>
        <v>2500</v>
      </c>
      <c r="G180" s="5">
        <v>3200</v>
      </c>
      <c r="H180" s="5">
        <f>G180/D180</f>
        <v>2.5098039215686274</v>
      </c>
    </row>
    <row r="181" spans="1:8" ht="20.100000000000001" customHeight="1" thickBot="1" x14ac:dyDescent="0.3">
      <c r="A181" s="16" t="s">
        <v>154</v>
      </c>
      <c r="B181" s="2" t="s">
        <v>90</v>
      </c>
      <c r="C181">
        <v>75</v>
      </c>
      <c r="D181" s="5">
        <f t="shared" si="5"/>
        <v>1912.5</v>
      </c>
      <c r="E181" s="5" t="s">
        <v>184</v>
      </c>
      <c r="F181" s="5">
        <f>ROUND(3470+3002,-2)</f>
        <v>6500</v>
      </c>
      <c r="G181" s="5">
        <v>3100</v>
      </c>
      <c r="H181" s="5">
        <f>G181/D181</f>
        <v>1.6209150326797386</v>
      </c>
    </row>
    <row r="182" spans="1:8" ht="20.100000000000001" customHeight="1" thickBot="1" x14ac:dyDescent="0.3">
      <c r="A182" s="16" t="s">
        <v>155</v>
      </c>
      <c r="B182" s="2" t="s">
        <v>2</v>
      </c>
      <c r="C182">
        <v>40</v>
      </c>
      <c r="D182" s="5">
        <f t="shared" si="5"/>
        <v>1020</v>
      </c>
      <c r="E182" s="5" t="s">
        <v>179</v>
      </c>
    </row>
    <row r="183" spans="1:8" ht="20.100000000000001" customHeight="1" thickBot="1" x14ac:dyDescent="0.3">
      <c r="A183" s="17" t="s">
        <v>156</v>
      </c>
      <c r="B183" s="3" t="s">
        <v>7</v>
      </c>
      <c r="C183">
        <v>55</v>
      </c>
      <c r="D183" s="5">
        <f t="shared" si="5"/>
        <v>1127.5</v>
      </c>
      <c r="E183" s="5" t="s">
        <v>177</v>
      </c>
    </row>
    <row r="184" spans="1:8" ht="20.100000000000001" customHeight="1" thickBot="1" x14ac:dyDescent="0.3">
      <c r="A184" s="16" t="s">
        <v>157</v>
      </c>
      <c r="B184" s="2" t="s">
        <v>2</v>
      </c>
      <c r="C184">
        <v>40</v>
      </c>
      <c r="D184" s="5">
        <f t="shared" si="5"/>
        <v>1020</v>
      </c>
      <c r="E184" s="5" t="s">
        <v>179</v>
      </c>
      <c r="F184" s="5">
        <f>ROUND(5191+5003,-2)</f>
        <v>10200</v>
      </c>
      <c r="G184" s="5">
        <v>2500</v>
      </c>
      <c r="H184" s="5">
        <f>G184/D184</f>
        <v>2.4509803921568629</v>
      </c>
    </row>
    <row r="185" spans="1:8" ht="20.100000000000001" customHeight="1" thickBot="1" x14ac:dyDescent="0.3">
      <c r="A185" s="17" t="s">
        <v>158</v>
      </c>
      <c r="B185" s="3" t="s">
        <v>2</v>
      </c>
      <c r="C185">
        <v>40</v>
      </c>
      <c r="D185" s="5">
        <f t="shared" si="5"/>
        <v>1020</v>
      </c>
      <c r="E185" s="5" t="s">
        <v>179</v>
      </c>
    </row>
    <row r="186" spans="1:8" ht="20.100000000000001" customHeight="1" thickBot="1" x14ac:dyDescent="0.3">
      <c r="A186" s="16" t="s">
        <v>159</v>
      </c>
      <c r="B186" s="2" t="s">
        <v>2</v>
      </c>
      <c r="C186">
        <v>40</v>
      </c>
      <c r="D186" s="5">
        <f t="shared" si="5"/>
        <v>1020</v>
      </c>
      <c r="E186" s="5" t="s">
        <v>177</v>
      </c>
    </row>
    <row r="187" spans="1:8" ht="20.100000000000001" customHeight="1" thickBot="1" x14ac:dyDescent="0.3">
      <c r="A187" s="17" t="s">
        <v>210</v>
      </c>
      <c r="B187" s="3" t="s">
        <v>7</v>
      </c>
      <c r="C187">
        <v>55</v>
      </c>
      <c r="D187" s="5">
        <f t="shared" si="5"/>
        <v>1127.5</v>
      </c>
      <c r="E187" s="5" t="s">
        <v>213</v>
      </c>
    </row>
    <row r="188" spans="1:8" ht="20.100000000000001" customHeight="1" thickBot="1" x14ac:dyDescent="0.3">
      <c r="A188" s="16" t="s">
        <v>196</v>
      </c>
      <c r="B188" s="2" t="s">
        <v>7</v>
      </c>
      <c r="C188">
        <v>55</v>
      </c>
      <c r="D188" s="5">
        <f t="shared" si="5"/>
        <v>1127.5</v>
      </c>
      <c r="E188" s="5" t="s">
        <v>197</v>
      </c>
    </row>
    <row r="189" spans="1:8" ht="20.100000000000001" customHeight="1" thickBot="1" x14ac:dyDescent="0.3">
      <c r="A189" s="17" t="s">
        <v>160</v>
      </c>
      <c r="B189" s="3" t="s">
        <v>2</v>
      </c>
      <c r="C189">
        <v>45</v>
      </c>
      <c r="D189" s="5">
        <f t="shared" si="5"/>
        <v>1147.5</v>
      </c>
      <c r="E189" s="5" t="s">
        <v>177</v>
      </c>
    </row>
    <row r="190" spans="1:8" ht="20.100000000000001" customHeight="1" thickBot="1" x14ac:dyDescent="0.3">
      <c r="A190" s="16" t="s">
        <v>161</v>
      </c>
      <c r="B190" s="2" t="s">
        <v>2</v>
      </c>
      <c r="C190">
        <v>40</v>
      </c>
      <c r="D190" s="5">
        <f t="shared" si="5"/>
        <v>1020</v>
      </c>
      <c r="E190" s="5" t="s">
        <v>179</v>
      </c>
    </row>
    <row r="191" spans="1:8" ht="20.100000000000001" customHeight="1" thickBot="1" x14ac:dyDescent="0.3">
      <c r="A191" s="17" t="s">
        <v>162</v>
      </c>
      <c r="B191" s="3" t="s">
        <v>2</v>
      </c>
      <c r="C191">
        <v>40</v>
      </c>
      <c r="D191" s="5">
        <f t="shared" si="5"/>
        <v>1020</v>
      </c>
      <c r="E191" s="5" t="s">
        <v>179</v>
      </c>
    </row>
    <row r="192" spans="1:8" ht="20.100000000000001" customHeight="1" thickBot="1" x14ac:dyDescent="0.3">
      <c r="A192" s="17" t="s">
        <v>211</v>
      </c>
      <c r="B192" s="3" t="s">
        <v>7</v>
      </c>
      <c r="C192">
        <v>55</v>
      </c>
      <c r="D192" s="5">
        <f t="shared" si="5"/>
        <v>1127.5</v>
      </c>
      <c r="E192" s="5" t="s">
        <v>213</v>
      </c>
    </row>
    <row r="193" spans="1:8" ht="20.100000000000001" customHeight="1" thickBot="1" x14ac:dyDescent="0.3">
      <c r="A193" s="16" t="s">
        <v>163</v>
      </c>
      <c r="B193" s="2" t="s">
        <v>7</v>
      </c>
      <c r="C193">
        <v>55</v>
      </c>
      <c r="D193" s="5">
        <f t="shared" si="5"/>
        <v>1127.5</v>
      </c>
      <c r="E193" s="5" t="s">
        <v>177</v>
      </c>
    </row>
    <row r="194" spans="1:8" ht="20.100000000000001" customHeight="1" thickBot="1" x14ac:dyDescent="0.3">
      <c r="A194" s="17" t="s">
        <v>164</v>
      </c>
      <c r="B194" s="3" t="s">
        <v>2</v>
      </c>
      <c r="C194">
        <v>45</v>
      </c>
      <c r="D194" s="5">
        <f t="shared" ref="D194:D204" si="6">C194*VLOOKUP($B194,$J$2:$K$4,2)</f>
        <v>1147.5</v>
      </c>
      <c r="E194" s="5" t="s">
        <v>184</v>
      </c>
      <c r="F194" s="5">
        <f>ROUND(1515+1680,-2)</f>
        <v>3200</v>
      </c>
      <c r="G194" s="5">
        <v>1700</v>
      </c>
      <c r="H194" s="5">
        <f>G194/D194</f>
        <v>1.4814814814814814</v>
      </c>
    </row>
    <row r="195" spans="1:8" ht="20.100000000000001" customHeight="1" thickBot="1" x14ac:dyDescent="0.3">
      <c r="A195" s="16" t="s">
        <v>165</v>
      </c>
      <c r="B195" s="2" t="s">
        <v>7</v>
      </c>
      <c r="C195">
        <v>50</v>
      </c>
      <c r="D195" s="5">
        <f t="shared" si="6"/>
        <v>1025</v>
      </c>
      <c r="E195" s="5" t="s">
        <v>185</v>
      </c>
    </row>
    <row r="196" spans="1:8" ht="20.100000000000001" customHeight="1" thickBot="1" x14ac:dyDescent="0.3">
      <c r="A196" s="17" t="s">
        <v>166</v>
      </c>
      <c r="B196" s="3" t="s">
        <v>2</v>
      </c>
      <c r="C196">
        <v>40</v>
      </c>
      <c r="D196" s="5">
        <f t="shared" si="6"/>
        <v>1020</v>
      </c>
      <c r="E196" s="5" t="s">
        <v>179</v>
      </c>
    </row>
    <row r="197" spans="1:8" ht="20.100000000000001" customHeight="1" thickBot="1" x14ac:dyDescent="0.3">
      <c r="A197" s="17" t="s">
        <v>212</v>
      </c>
      <c r="B197" s="3" t="s">
        <v>7</v>
      </c>
      <c r="C197">
        <v>55</v>
      </c>
      <c r="D197" s="5">
        <f t="shared" si="6"/>
        <v>1127.5</v>
      </c>
      <c r="E197" s="5" t="s">
        <v>213</v>
      </c>
    </row>
    <row r="198" spans="1:8" ht="20.100000000000001" customHeight="1" thickBot="1" x14ac:dyDescent="0.3">
      <c r="A198" s="16" t="s">
        <v>183</v>
      </c>
      <c r="B198" s="2" t="s">
        <v>2</v>
      </c>
      <c r="C198">
        <v>45</v>
      </c>
      <c r="D198" s="5">
        <f t="shared" si="6"/>
        <v>1147.5</v>
      </c>
      <c r="E198" s="5" t="s">
        <v>184</v>
      </c>
    </row>
    <row r="199" spans="1:8" ht="20.100000000000001" customHeight="1" thickBot="1" x14ac:dyDescent="0.3">
      <c r="A199" s="16" t="s">
        <v>167</v>
      </c>
      <c r="B199" s="2" t="s">
        <v>168</v>
      </c>
      <c r="C199">
        <v>45</v>
      </c>
      <c r="D199" s="5">
        <f t="shared" si="6"/>
        <v>1147.5</v>
      </c>
      <c r="E199" s="5" t="s">
        <v>184</v>
      </c>
      <c r="F199" s="5">
        <f>ROUND(1482+1501,-2)</f>
        <v>3000</v>
      </c>
      <c r="G199" s="5">
        <v>3200</v>
      </c>
      <c r="H199" s="5">
        <f>G199/D199</f>
        <v>2.7886710239651418</v>
      </c>
    </row>
    <row r="200" spans="1:8" ht="20.100000000000001" customHeight="1" thickBot="1" x14ac:dyDescent="0.3">
      <c r="A200" s="17" t="s">
        <v>169</v>
      </c>
      <c r="B200" s="3" t="s">
        <v>7</v>
      </c>
      <c r="C200">
        <v>60</v>
      </c>
      <c r="D200" s="5">
        <f t="shared" si="6"/>
        <v>1230</v>
      </c>
      <c r="E200" s="5" t="s">
        <v>185</v>
      </c>
      <c r="F200" s="5">
        <f>ROUND(8288+9930,-2)</f>
        <v>18200</v>
      </c>
      <c r="G200" s="5">
        <v>3700</v>
      </c>
      <c r="H200" s="5">
        <f>G200/D200</f>
        <v>3.0081300813008132</v>
      </c>
    </row>
    <row r="201" spans="1:8" ht="20.100000000000001" customHeight="1" thickBot="1" x14ac:dyDescent="0.3">
      <c r="A201" s="16" t="s">
        <v>170</v>
      </c>
      <c r="B201" s="2" t="s">
        <v>2</v>
      </c>
      <c r="C201">
        <v>40</v>
      </c>
      <c r="D201" s="5">
        <f t="shared" si="6"/>
        <v>1020</v>
      </c>
      <c r="E201" s="5" t="s">
        <v>179</v>
      </c>
    </row>
    <row r="202" spans="1:8" ht="20.100000000000001" customHeight="1" thickBot="1" x14ac:dyDescent="0.3">
      <c r="A202" s="16" t="s">
        <v>171</v>
      </c>
      <c r="B202" s="2" t="s">
        <v>7</v>
      </c>
      <c r="C202">
        <v>55</v>
      </c>
      <c r="D202" s="5">
        <f t="shared" si="6"/>
        <v>1127.5</v>
      </c>
      <c r="E202" s="5" t="s">
        <v>177</v>
      </c>
    </row>
    <row r="203" spans="1:8" ht="20.100000000000001" customHeight="1" thickBot="1" x14ac:dyDescent="0.3">
      <c r="A203" s="17" t="s">
        <v>172</v>
      </c>
      <c r="B203" s="3" t="s">
        <v>7</v>
      </c>
      <c r="C203">
        <v>50</v>
      </c>
      <c r="D203" s="5">
        <f t="shared" ref="D203" si="7">C203*VLOOKUP($B203,$J$2:$K$4,2)</f>
        <v>1025</v>
      </c>
      <c r="E203" s="5" t="s">
        <v>177</v>
      </c>
    </row>
    <row r="204" spans="1:8" ht="20.100000000000001" customHeight="1" thickBot="1" x14ac:dyDescent="0.3">
      <c r="A204" s="17" t="s">
        <v>236</v>
      </c>
      <c r="B204" s="3" t="s">
        <v>7</v>
      </c>
      <c r="C204">
        <v>0</v>
      </c>
      <c r="D204" s="5">
        <f t="shared" si="6"/>
        <v>0</v>
      </c>
      <c r="E204" s="5" t="s">
        <v>236</v>
      </c>
      <c r="F204" s="5">
        <v>1E-3</v>
      </c>
      <c r="G204" s="5">
        <v>1E-3</v>
      </c>
      <c r="H204" s="5">
        <v>1</v>
      </c>
    </row>
    <row r="205" spans="1:8" ht="15.75" thickBot="1" x14ac:dyDescent="0.3">
      <c r="A205" s="16"/>
      <c r="B205" s="3"/>
    </row>
  </sheetData>
  <sheetProtection algorithmName="SHA-512" hashValue="pdwcgDDKYO4yI5Oz6sIjgIykxhKL7mHp1pjMMAOVdhytUDJz77f7x//ruzcvCbUmeLXOaFGxyc2bkSivwagw8g==" saltValue="+Q4JpYUotYfMC6J/XuZsQA==" spinCount="100000" sheet="1" objects="1" scenarios="1"/>
  <sortState ref="A2:H203">
    <sortCondition ref="A2:A203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Kalkulace výjezdu</vt:lpstr>
      <vt:lpstr>Sazby</vt:lpstr>
      <vt:lpstr>list_of_countries</vt:lpstr>
      <vt:lpstr>zeme_pobytu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Mokry</dc:creator>
  <cp:lastModifiedBy>Pavel Mokrý</cp:lastModifiedBy>
  <dcterms:created xsi:type="dcterms:W3CDTF">2018-02-14T09:09:25Z</dcterms:created>
  <dcterms:modified xsi:type="dcterms:W3CDTF">2018-03-06T10:36:43Z</dcterms:modified>
</cp:coreProperties>
</file>